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029"/>
  <workbookPr filterPrivacy="1" defaultThemeVersion="124226"/>
  <xr:revisionPtr revIDLastSave="0" documentId="13_ncr:1_{7EE38BF6-D69E-4B0B-A85E-D1B6CA9EC9E8}" xr6:coauthVersionLast="47" xr6:coauthVersionMax="47" xr10:uidLastSave="{00000000-0000-0000-0000-000000000000}"/>
  <bookViews>
    <workbookView xWindow="-120" yWindow="-120" windowWidth="29040" windowHeight="15840" activeTab="3" xr2:uid="{00000000-000D-0000-FFFF-FFFF00000000}"/>
  </bookViews>
  <sheets>
    <sheet name="PAAP Continut" sheetId="1" r:id="rId1"/>
    <sheet name="CENTRALIZATOR" sheetId="8" r:id="rId2"/>
    <sheet name="PAAP 2025" sheetId="2" r:id="rId3"/>
    <sheet name="Anexa achizitii directe 2025" sheetId="3" r:id="rId4"/>
    <sheet name="Foaie1" sheetId="7" r:id="rId5"/>
    <sheet name="Foaie2" sheetId="9" r:id="rId6"/>
    <sheet name="Foaie3" sheetId="10" r:id="rId7"/>
  </sheets>
  <externalReferences>
    <externalReference r:id="rId8"/>
  </externalReferences>
  <definedNames>
    <definedName name="_xlnm._FilterDatabase" localSheetId="4" hidden="1">Foaie1!$A$1:$H$473</definedName>
    <definedName name="_xlnm.Print_Area" localSheetId="3">'Anexa achizitii directe 2025'!$A$1:$I$482</definedName>
    <definedName name="_xlnm.Print_Area" localSheetId="2">'PAAP 2025'!$A$1:$N$83</definedName>
    <definedName name="_xlnm.Print_Area" localSheetId="0">'PAAP Continut'!$A$1:$N$23</definedName>
  </definedNames>
  <calcPr calcId="191029"/>
</workbook>
</file>

<file path=xl/calcChain.xml><?xml version="1.0" encoding="utf-8"?>
<calcChain xmlns="http://schemas.openxmlformats.org/spreadsheetml/2006/main">
  <c r="D467" i="3" l="1"/>
  <c r="D465" i="3"/>
  <c r="D466" i="3" s="1"/>
  <c r="D459" i="3"/>
  <c r="D462" i="3" s="1"/>
  <c r="D315" i="3"/>
  <c r="D313" i="3"/>
  <c r="D314" i="3" s="1"/>
  <c r="D311" i="3"/>
  <c r="D312" i="3" s="1"/>
  <c r="G68" i="2"/>
  <c r="G63" i="2"/>
  <c r="G45" i="2"/>
  <c r="G36" i="2"/>
  <c r="G37" i="2"/>
  <c r="G40" i="2" s="1"/>
  <c r="D145" i="3"/>
  <c r="D146" i="3" s="1"/>
  <c r="G23" i="2"/>
  <c r="G22" i="2"/>
  <c r="G21" i="2"/>
  <c r="G18" i="2" s="1"/>
  <c r="G24" i="2" s="1"/>
  <c r="G20" i="2"/>
  <c r="G14" i="2"/>
  <c r="D86" i="3"/>
  <c r="D89" i="3" s="1"/>
  <c r="D90" i="3" s="1"/>
  <c r="D84" i="3"/>
  <c r="D30" i="3"/>
  <c r="D28" i="3"/>
  <c r="D26" i="3"/>
  <c r="D27" i="3" s="1"/>
  <c r="G9" i="2"/>
  <c r="G69" i="2"/>
  <c r="G65" i="2"/>
  <c r="G56" i="2"/>
  <c r="G15" i="2"/>
  <c r="G11" i="2"/>
  <c r="D478" i="3"/>
  <c r="D476" i="3"/>
  <c r="D475" i="3"/>
  <c r="D474" i="3"/>
  <c r="D473" i="3"/>
  <c r="D468" i="3"/>
  <c r="D451" i="3"/>
  <c r="D431" i="3"/>
  <c r="D430" i="3"/>
  <c r="D429" i="3"/>
  <c r="D310" i="3"/>
  <c r="D306" i="3"/>
  <c r="D300" i="3"/>
  <c r="D252" i="3"/>
  <c r="D143" i="3"/>
  <c r="D125" i="3"/>
  <c r="D85" i="3"/>
  <c r="D31" i="3"/>
  <c r="D29" i="3"/>
  <c r="D14" i="3"/>
  <c r="D11" i="3"/>
  <c r="D12" i="3"/>
  <c r="D286" i="3"/>
  <c r="D281" i="3"/>
  <c r="D212" i="3"/>
  <c r="G48" i="2"/>
  <c r="G38" i="2"/>
  <c r="G34" i="2"/>
  <c r="G35" i="2"/>
  <c r="G33" i="2"/>
  <c r="G32" i="2"/>
  <c r="G31" i="2"/>
  <c r="D456" i="3"/>
  <c r="G54" i="2"/>
  <c r="G39" i="2"/>
  <c r="D142" i="3"/>
  <c r="G19" i="2"/>
  <c r="D117" i="3"/>
  <c r="D115" i="3"/>
  <c r="D114" i="3"/>
  <c r="D112" i="3"/>
  <c r="D111" i="3"/>
  <c r="D109" i="3"/>
  <c r="D108" i="3"/>
  <c r="G10" i="2"/>
  <c r="G53" i="2"/>
  <c r="D457" i="3"/>
  <c r="G49" i="2"/>
  <c r="D137" i="3"/>
  <c r="D133" i="3"/>
  <c r="D130" i="3"/>
  <c r="D127" i="3"/>
  <c r="D126" i="3"/>
  <c r="A9" i="8"/>
  <c r="G30" i="2"/>
  <c r="D116" i="3"/>
  <c r="G44" i="2"/>
  <c r="G46" i="2"/>
  <c r="D477" i="3"/>
  <c r="D461" i="3"/>
  <c r="D128" i="3"/>
  <c r="D136" i="3"/>
  <c r="C388" i="7"/>
  <c r="H379" i="7"/>
  <c r="F379" i="7"/>
  <c r="H347" i="7"/>
  <c r="H330" i="7"/>
  <c r="H188" i="7"/>
  <c r="H105" i="7"/>
  <c r="H106" i="7"/>
  <c r="H71" i="7"/>
  <c r="H70" i="7"/>
  <c r="H55" i="7"/>
  <c r="F56" i="7"/>
  <c r="F358" i="7"/>
  <c r="H358" i="7"/>
  <c r="F360" i="7"/>
  <c r="H360" i="7"/>
  <c r="E360" i="7" s="1"/>
  <c r="H369" i="7"/>
  <c r="H370" i="7"/>
  <c r="H371" i="7"/>
  <c r="H372" i="7"/>
  <c r="H368" i="7"/>
  <c r="F366" i="7"/>
  <c r="H366" i="7" s="1"/>
  <c r="F364" i="7"/>
  <c r="H364" i="7" s="1"/>
  <c r="F362" i="7"/>
  <c r="H362" i="7" s="1"/>
  <c r="F356" i="7"/>
  <c r="H356" i="7" s="1"/>
  <c r="F354" i="7"/>
  <c r="H354" i="7" s="1"/>
  <c r="F352" i="7"/>
  <c r="H352" i="7" s="1"/>
  <c r="F350" i="7"/>
  <c r="H350" i="7" s="1"/>
  <c r="F348" i="7"/>
  <c r="H348" i="7" s="1"/>
  <c r="F346" i="7"/>
  <c r="H346" i="7" s="1"/>
  <c r="G336" i="7"/>
  <c r="F332" i="7"/>
  <c r="H332" i="7" s="1"/>
  <c r="F333" i="7"/>
  <c r="H333" i="7" s="1"/>
  <c r="F334" i="7"/>
  <c r="H334" i="7" s="1"/>
  <c r="F335" i="7"/>
  <c r="H335" i="7" s="1"/>
  <c r="F336" i="7"/>
  <c r="F337" i="7"/>
  <c r="H337" i="7" s="1"/>
  <c r="H338" i="7"/>
  <c r="F339" i="7"/>
  <c r="H339" i="7" s="1"/>
  <c r="F340" i="7"/>
  <c r="H340" i="7" s="1"/>
  <c r="F341" i="7"/>
  <c r="H341" i="7" s="1"/>
  <c r="F342" i="7"/>
  <c r="H342" i="7" s="1"/>
  <c r="F343" i="7"/>
  <c r="H343" i="7" s="1"/>
  <c r="F344" i="7"/>
  <c r="H344" i="7" s="1"/>
  <c r="F345" i="7"/>
  <c r="H345" i="7" s="1"/>
  <c r="F331" i="7"/>
  <c r="H331" i="7" s="1"/>
  <c r="F311" i="7"/>
  <c r="H311" i="7" s="1"/>
  <c r="F312" i="7"/>
  <c r="H312" i="7" s="1"/>
  <c r="F313" i="7"/>
  <c r="H313" i="7" s="1"/>
  <c r="F314" i="7"/>
  <c r="H314" i="7" s="1"/>
  <c r="H315" i="7"/>
  <c r="H316" i="7"/>
  <c r="F317" i="7"/>
  <c r="H317" i="7" s="1"/>
  <c r="H318" i="7"/>
  <c r="H319" i="7"/>
  <c r="F320" i="7"/>
  <c r="H320" i="7" s="1"/>
  <c r="F321" i="7"/>
  <c r="H321" i="7" s="1"/>
  <c r="F322" i="7"/>
  <c r="H322" i="7" s="1"/>
  <c r="F323" i="7"/>
  <c r="H323" i="7" s="1"/>
  <c r="F324" i="7"/>
  <c r="H324" i="7" s="1"/>
  <c r="F325" i="7"/>
  <c r="H325" i="7" s="1"/>
  <c r="F326" i="7"/>
  <c r="H326" i="7" s="1"/>
  <c r="F327" i="7"/>
  <c r="H327" i="7" s="1"/>
  <c r="F328" i="7"/>
  <c r="H328" i="7" s="1"/>
  <c r="F329" i="7"/>
  <c r="H329" i="7" s="1"/>
  <c r="F310" i="7"/>
  <c r="H310" i="7" s="1"/>
  <c r="F289" i="7"/>
  <c r="H289" i="7" s="1"/>
  <c r="E289" i="7" s="1"/>
  <c r="H291" i="7"/>
  <c r="H296" i="7"/>
  <c r="H297" i="7"/>
  <c r="H302" i="7"/>
  <c r="H303" i="7"/>
  <c r="H308" i="7"/>
  <c r="H290" i="7"/>
  <c r="H292" i="7"/>
  <c r="H293" i="7"/>
  <c r="H294" i="7"/>
  <c r="H295" i="7"/>
  <c r="H298" i="7"/>
  <c r="H299" i="7"/>
  <c r="H300" i="7"/>
  <c r="H301" i="7"/>
  <c r="H304" i="7"/>
  <c r="H305" i="7"/>
  <c r="H306" i="7"/>
  <c r="H307" i="7"/>
  <c r="H277" i="7"/>
  <c r="H279" i="7"/>
  <c r="H280" i="7"/>
  <c r="H281" i="7"/>
  <c r="H282" i="7"/>
  <c r="H283" i="7"/>
  <c r="H284" i="7"/>
  <c r="H285" i="7"/>
  <c r="H286" i="7"/>
  <c r="H287" i="7"/>
  <c r="H276" i="7"/>
  <c r="F288" i="7"/>
  <c r="H288" i="7" s="1"/>
  <c r="F278" i="7"/>
  <c r="H278" i="7" s="1"/>
  <c r="H221" i="7"/>
  <c r="H222" i="7"/>
  <c r="H223" i="7"/>
  <c r="H224" i="7"/>
  <c r="H225" i="7"/>
  <c r="H226" i="7"/>
  <c r="H227" i="7"/>
  <c r="H228" i="7"/>
  <c r="H229" i="7"/>
  <c r="H230" i="7"/>
  <c r="H231" i="7"/>
  <c r="H232" i="7"/>
  <c r="H233" i="7"/>
  <c r="H234" i="7"/>
  <c r="H235" i="7"/>
  <c r="H236" i="7"/>
  <c r="H237" i="7"/>
  <c r="H238" i="7"/>
  <c r="H239" i="7"/>
  <c r="H240" i="7"/>
  <c r="H241" i="7"/>
  <c r="H242" i="7"/>
  <c r="H243" i="7"/>
  <c r="H244" i="7"/>
  <c r="H245" i="7"/>
  <c r="H246" i="7"/>
  <c r="H247" i="7"/>
  <c r="H248" i="7"/>
  <c r="H249" i="7"/>
  <c r="H250" i="7"/>
  <c r="H251" i="7"/>
  <c r="H252" i="7"/>
  <c r="H253" i="7"/>
  <c r="H254" i="7"/>
  <c r="H255" i="7"/>
  <c r="H256" i="7"/>
  <c r="H257" i="7"/>
  <c r="H258" i="7"/>
  <c r="H259" i="7"/>
  <c r="H260" i="7"/>
  <c r="H261" i="7"/>
  <c r="H262" i="7"/>
  <c r="H263" i="7"/>
  <c r="H264" i="7"/>
  <c r="H265" i="7"/>
  <c r="H266" i="7"/>
  <c r="H267" i="7"/>
  <c r="H268" i="7"/>
  <c r="H269" i="7"/>
  <c r="H270" i="7"/>
  <c r="H271" i="7"/>
  <c r="H272" i="7"/>
  <c r="H273" i="7"/>
  <c r="H274" i="7"/>
  <c r="H213" i="7"/>
  <c r="H214" i="7"/>
  <c r="H215" i="7"/>
  <c r="H216" i="7"/>
  <c r="H217" i="7"/>
  <c r="H218" i="7"/>
  <c r="H220" i="7"/>
  <c r="H212" i="7"/>
  <c r="F219" i="7"/>
  <c r="H219" i="7" s="1"/>
  <c r="F210" i="7"/>
  <c r="H210" i="7" s="1"/>
  <c r="H208" i="7"/>
  <c r="F206" i="7"/>
  <c r="H206" i="7" s="1"/>
  <c r="F205" i="7"/>
  <c r="H205" i="7" s="1"/>
  <c r="F204" i="7"/>
  <c r="H204" i="7" s="1"/>
  <c r="F203" i="7"/>
  <c r="H203" i="7" s="1"/>
  <c r="F202" i="7"/>
  <c r="H202" i="7" s="1"/>
  <c r="F201" i="7"/>
  <c r="H201" i="7" s="1"/>
  <c r="H192" i="7"/>
  <c r="H194" i="7"/>
  <c r="H195" i="7"/>
  <c r="H198" i="7"/>
  <c r="F200" i="7"/>
  <c r="H200" i="7" s="1"/>
  <c r="F199" i="7"/>
  <c r="H199" i="7" s="1"/>
  <c r="F197" i="7"/>
  <c r="H197" i="7" s="1"/>
  <c r="F196" i="7"/>
  <c r="H196" i="7" s="1"/>
  <c r="F193" i="7"/>
  <c r="H193" i="7" s="1"/>
  <c r="F191" i="7"/>
  <c r="H191" i="7" s="1"/>
  <c r="F190" i="7"/>
  <c r="H190" i="7" s="1"/>
  <c r="F189" i="7"/>
  <c r="H189" i="7" s="1"/>
  <c r="D105" i="3"/>
  <c r="H184" i="7"/>
  <c r="E184" i="7" s="1"/>
  <c r="H173" i="7"/>
  <c r="H174" i="7"/>
  <c r="H175" i="7"/>
  <c r="H176" i="7"/>
  <c r="H177" i="7"/>
  <c r="H178" i="7"/>
  <c r="H179" i="7"/>
  <c r="H180" i="7"/>
  <c r="H181" i="7"/>
  <c r="H182" i="7"/>
  <c r="H183" i="7"/>
  <c r="H185" i="7"/>
  <c r="H186" i="7"/>
  <c r="H187" i="7"/>
  <c r="D106" i="3"/>
  <c r="F144" i="7"/>
  <c r="H144" i="7" s="1"/>
  <c r="F143" i="7"/>
  <c r="H143" i="7" s="1"/>
  <c r="F142" i="7"/>
  <c r="H142" i="7" s="1"/>
  <c r="F141" i="7"/>
  <c r="H141" i="7" s="1"/>
  <c r="F140" i="7"/>
  <c r="H140" i="7" s="1"/>
  <c r="F139" i="7"/>
  <c r="H139" i="7" s="1"/>
  <c r="F138" i="7"/>
  <c r="H138" i="7" s="1"/>
  <c r="F137" i="7"/>
  <c r="H137" i="7" s="1"/>
  <c r="F136" i="7"/>
  <c r="H136" i="7" s="1"/>
  <c r="F135" i="7"/>
  <c r="H135" i="7" s="1"/>
  <c r="F134" i="7"/>
  <c r="H134" i="7" s="1"/>
  <c r="F112" i="7"/>
  <c r="H112" i="7" s="1"/>
  <c r="F113" i="7"/>
  <c r="H113" i="7" s="1"/>
  <c r="F114" i="7"/>
  <c r="H114" i="7" s="1"/>
  <c r="F159" i="7"/>
  <c r="H159" i="7" s="1"/>
  <c r="F160" i="7"/>
  <c r="H160" i="7" s="1"/>
  <c r="F161" i="7"/>
  <c r="H161" i="7" s="1"/>
  <c r="F162" i="7"/>
  <c r="H162" i="7" s="1"/>
  <c r="F115" i="7"/>
  <c r="H115" i="7" s="1"/>
  <c r="F116" i="7"/>
  <c r="H116" i="7" s="1"/>
  <c r="F117" i="7"/>
  <c r="H117" i="7" s="1"/>
  <c r="F118" i="7"/>
  <c r="H118" i="7" s="1"/>
  <c r="F119" i="7"/>
  <c r="H119" i="7" s="1"/>
  <c r="F120" i="7"/>
  <c r="H120" i="7" s="1"/>
  <c r="F163" i="7"/>
  <c r="H163" i="7" s="1"/>
  <c r="F121" i="7"/>
  <c r="H121" i="7" s="1"/>
  <c r="F164" i="7"/>
  <c r="H164" i="7" s="1"/>
  <c r="F165" i="7"/>
  <c r="H165" i="7" s="1"/>
  <c r="F166" i="7"/>
  <c r="H166" i="7" s="1"/>
  <c r="F122" i="7"/>
  <c r="H122" i="7" s="1"/>
  <c r="F123" i="7"/>
  <c r="H123" i="7" s="1"/>
  <c r="F124" i="7"/>
  <c r="H124" i="7" s="1"/>
  <c r="F125" i="7"/>
  <c r="H125" i="7" s="1"/>
  <c r="F126" i="7"/>
  <c r="H126" i="7" s="1"/>
  <c r="F127" i="7"/>
  <c r="H127" i="7" s="1"/>
  <c r="F128" i="7"/>
  <c r="H128" i="7" s="1"/>
  <c r="F129" i="7"/>
  <c r="H129" i="7" s="1"/>
  <c r="F130" i="7"/>
  <c r="H130" i="7" s="1"/>
  <c r="F131" i="7"/>
  <c r="H131" i="7" s="1"/>
  <c r="F132" i="7"/>
  <c r="H132" i="7" s="1"/>
  <c r="F167" i="7"/>
  <c r="H167" i="7" s="1"/>
  <c r="F168" i="7"/>
  <c r="H168" i="7" s="1"/>
  <c r="F169" i="7"/>
  <c r="H169" i="7" s="1"/>
  <c r="F146" i="7"/>
  <c r="H146" i="7" s="1"/>
  <c r="F147" i="7"/>
  <c r="H147" i="7" s="1"/>
  <c r="F133" i="7"/>
  <c r="H133" i="7" s="1"/>
  <c r="F148" i="7"/>
  <c r="H148" i="7" s="1"/>
  <c r="F149" i="7"/>
  <c r="H149" i="7" s="1"/>
  <c r="F150" i="7"/>
  <c r="H150" i="7" s="1"/>
  <c r="F151" i="7"/>
  <c r="H151" i="7" s="1"/>
  <c r="F152" i="7"/>
  <c r="H152" i="7" s="1"/>
  <c r="F153" i="7"/>
  <c r="H153" i="7" s="1"/>
  <c r="F154" i="7"/>
  <c r="H154" i="7" s="1"/>
  <c r="F155" i="7"/>
  <c r="H155" i="7" s="1"/>
  <c r="F156" i="7"/>
  <c r="H156" i="7" s="1"/>
  <c r="F157" i="7"/>
  <c r="H157" i="7" s="1"/>
  <c r="F158" i="7"/>
  <c r="H158" i="7" s="1"/>
  <c r="F170" i="7"/>
  <c r="H170" i="7" s="1"/>
  <c r="F171" i="7"/>
  <c r="H171" i="7" s="1"/>
  <c r="F145" i="7"/>
  <c r="H145" i="7" s="1"/>
  <c r="F172" i="7"/>
  <c r="H172" i="7" s="1"/>
  <c r="F111" i="7"/>
  <c r="H111" i="7" s="1"/>
  <c r="H107" i="7"/>
  <c r="H108" i="7"/>
  <c r="H109" i="7"/>
  <c r="F79" i="7"/>
  <c r="H79" i="7" s="1"/>
  <c r="F80" i="7"/>
  <c r="H80" i="7" s="1"/>
  <c r="F81" i="7"/>
  <c r="H81" i="7" s="1"/>
  <c r="F82" i="7"/>
  <c r="H82" i="7" s="1"/>
  <c r="F83" i="7"/>
  <c r="H83" i="7" s="1"/>
  <c r="F84" i="7"/>
  <c r="H84" i="7" s="1"/>
  <c r="F85" i="7"/>
  <c r="H85" i="7" s="1"/>
  <c r="F86" i="7"/>
  <c r="H86" i="7" s="1"/>
  <c r="F87" i="7"/>
  <c r="H87" i="7" s="1"/>
  <c r="F88" i="7"/>
  <c r="H88" i="7" s="1"/>
  <c r="H89" i="7"/>
  <c r="F90" i="7"/>
  <c r="H90" i="7" s="1"/>
  <c r="F91" i="7"/>
  <c r="H91" i="7" s="1"/>
  <c r="F92" i="7"/>
  <c r="H92" i="7" s="1"/>
  <c r="F93" i="7"/>
  <c r="H93" i="7" s="1"/>
  <c r="F94" i="7"/>
  <c r="H94" i="7" s="1"/>
  <c r="F95" i="7"/>
  <c r="H95" i="7" s="1"/>
  <c r="F96" i="7"/>
  <c r="H96" i="7" s="1"/>
  <c r="F97" i="7"/>
  <c r="H97" i="7" s="1"/>
  <c r="F98" i="7"/>
  <c r="H98" i="7" s="1"/>
  <c r="F99" i="7"/>
  <c r="H99" i="7" s="1"/>
  <c r="F100" i="7"/>
  <c r="H100" i="7" s="1"/>
  <c r="F101" i="7"/>
  <c r="H101" i="7" s="1"/>
  <c r="F102" i="7"/>
  <c r="H102" i="7" s="1"/>
  <c r="F103" i="7"/>
  <c r="H103" i="7" s="1"/>
  <c r="F104" i="7"/>
  <c r="H104" i="7" s="1"/>
  <c r="H77" i="7"/>
  <c r="H78" i="7"/>
  <c r="H76" i="7"/>
  <c r="H74" i="7"/>
  <c r="H73" i="7"/>
  <c r="E71" i="7"/>
  <c r="F59" i="7"/>
  <c r="H59" i="7" s="1"/>
  <c r="F60" i="7"/>
  <c r="H60" i="7" s="1"/>
  <c r="F61" i="7"/>
  <c r="H61" i="7" s="1"/>
  <c r="F62" i="7"/>
  <c r="H62" i="7" s="1"/>
  <c r="F63" i="7"/>
  <c r="H63" i="7" s="1"/>
  <c r="F64" i="7"/>
  <c r="H64" i="7" s="1"/>
  <c r="F65" i="7"/>
  <c r="H65" i="7" s="1"/>
  <c r="F66" i="7"/>
  <c r="H66" i="7" s="1"/>
  <c r="F67" i="7"/>
  <c r="H67" i="7" s="1"/>
  <c r="H68" i="7"/>
  <c r="F58" i="7"/>
  <c r="H58" i="7" s="1"/>
  <c r="F28" i="7"/>
  <c r="H28" i="7" s="1"/>
  <c r="F29" i="7"/>
  <c r="H29" i="7" s="1"/>
  <c r="F30" i="7"/>
  <c r="H30" i="7" s="1"/>
  <c r="F31" i="7"/>
  <c r="H31" i="7" s="1"/>
  <c r="F32" i="7"/>
  <c r="H32" i="7" s="1"/>
  <c r="F33" i="7"/>
  <c r="H33" i="7" s="1"/>
  <c r="F34" i="7"/>
  <c r="H34" i="7" s="1"/>
  <c r="F35" i="7"/>
  <c r="H35" i="7" s="1"/>
  <c r="F36" i="7"/>
  <c r="H36" i="7" s="1"/>
  <c r="F37" i="7"/>
  <c r="H37" i="7" s="1"/>
  <c r="F38" i="7"/>
  <c r="H38" i="7" s="1"/>
  <c r="F39" i="7"/>
  <c r="H39" i="7" s="1"/>
  <c r="F40" i="7"/>
  <c r="H40" i="7" s="1"/>
  <c r="F41" i="7"/>
  <c r="H41" i="7" s="1"/>
  <c r="F42" i="7"/>
  <c r="H42" i="7" s="1"/>
  <c r="F43" i="7"/>
  <c r="H43" i="7" s="1"/>
  <c r="F44" i="7"/>
  <c r="H44" i="7" s="1"/>
  <c r="F45" i="7"/>
  <c r="H45" i="7" s="1"/>
  <c r="F46" i="7"/>
  <c r="H46" i="7" s="1"/>
  <c r="F47" i="7"/>
  <c r="H47" i="7" s="1"/>
  <c r="F48" i="7"/>
  <c r="H48" i="7" s="1"/>
  <c r="F49" i="7"/>
  <c r="H49" i="7" s="1"/>
  <c r="F50" i="7"/>
  <c r="H50" i="7" s="1"/>
  <c r="F51" i="7"/>
  <c r="H51" i="7" s="1"/>
  <c r="F52" i="7"/>
  <c r="H52" i="7" s="1"/>
  <c r="F53" i="7"/>
  <c r="H53" i="7" s="1"/>
  <c r="F54" i="7"/>
  <c r="H54" i="7" s="1"/>
  <c r="F55" i="7"/>
  <c r="H56" i="7"/>
  <c r="F27" i="7"/>
  <c r="H27" i="7" s="1"/>
  <c r="H2" i="7"/>
  <c r="F3" i="7"/>
  <c r="F4" i="7"/>
  <c r="H4" i="7" s="1"/>
  <c r="F5" i="7"/>
  <c r="H5" i="7" s="1"/>
  <c r="F6" i="7"/>
  <c r="H6" i="7" s="1"/>
  <c r="F7" i="7"/>
  <c r="H7" i="7" s="1"/>
  <c r="F8" i="7"/>
  <c r="H8" i="7" s="1"/>
  <c r="F9" i="7"/>
  <c r="H9" i="7" s="1"/>
  <c r="F10" i="7"/>
  <c r="H10" i="7" s="1"/>
  <c r="F11" i="7"/>
  <c r="H11" i="7" s="1"/>
  <c r="F12" i="7"/>
  <c r="H12" i="7" s="1"/>
  <c r="F13" i="7"/>
  <c r="H13" i="7" s="1"/>
  <c r="F14" i="7"/>
  <c r="H14" i="7" s="1"/>
  <c r="F15" i="7"/>
  <c r="H15" i="7" s="1"/>
  <c r="F16" i="7"/>
  <c r="H16" i="7" s="1"/>
  <c r="F17" i="7"/>
  <c r="H17" i="7" s="1"/>
  <c r="F18" i="7"/>
  <c r="H18" i="7" s="1"/>
  <c r="F19" i="7"/>
  <c r="H19" i="7" s="1"/>
  <c r="F20" i="7"/>
  <c r="H20" i="7" s="1"/>
  <c r="F21" i="7"/>
  <c r="H21" i="7" s="1"/>
  <c r="F22" i="7"/>
  <c r="H22" i="7" s="1"/>
  <c r="F23" i="7"/>
  <c r="H23" i="7" s="1"/>
  <c r="F24" i="7"/>
  <c r="H24" i="7" s="1"/>
  <c r="F25" i="7"/>
  <c r="H25" i="7" s="1"/>
  <c r="G3" i="7"/>
  <c r="H58" i="10"/>
  <c r="H59" i="10"/>
  <c r="H60" i="10"/>
  <c r="H61" i="10"/>
  <c r="H62" i="10"/>
  <c r="H63" i="10"/>
  <c r="I63" i="10" s="1"/>
  <c r="J63" i="10" s="1"/>
  <c r="H626" i="10"/>
  <c r="F626" i="10"/>
  <c r="H624" i="10"/>
  <c r="I624" i="10" s="1"/>
  <c r="J624" i="10" s="1"/>
  <c r="H623" i="10"/>
  <c r="I623" i="10" s="1"/>
  <c r="J623" i="10" s="1"/>
  <c r="H622" i="10"/>
  <c r="F622" i="10"/>
  <c r="H621" i="10"/>
  <c r="I621" i="10" s="1"/>
  <c r="J621" i="10" s="1"/>
  <c r="H620" i="10"/>
  <c r="I620" i="10" s="1"/>
  <c r="J620" i="10" s="1"/>
  <c r="H619" i="10"/>
  <c r="I619" i="10" s="1"/>
  <c r="J619" i="10" s="1"/>
  <c r="H618" i="10"/>
  <c r="I618" i="10" s="1"/>
  <c r="J618" i="10" s="1"/>
  <c r="H617" i="10"/>
  <c r="I617" i="10" s="1"/>
  <c r="J617" i="10" s="1"/>
  <c r="H616" i="10"/>
  <c r="I616" i="10" s="1"/>
  <c r="J616" i="10" s="1"/>
  <c r="H615" i="10"/>
  <c r="I615" i="10" s="1"/>
  <c r="J615" i="10" s="1"/>
  <c r="H614" i="10"/>
  <c r="I614" i="10" s="1"/>
  <c r="J614" i="10" s="1"/>
  <c r="H613" i="10"/>
  <c r="I613" i="10" s="1"/>
  <c r="J613" i="10" s="1"/>
  <c r="H612" i="10"/>
  <c r="F612" i="10"/>
  <c r="H611" i="10"/>
  <c r="I611" i="10" s="1"/>
  <c r="J611" i="10" s="1"/>
  <c r="H610" i="10"/>
  <c r="I610" i="10" s="1"/>
  <c r="J610" i="10" s="1"/>
  <c r="H609" i="10"/>
  <c r="I609" i="10" s="1"/>
  <c r="J609" i="10" s="1"/>
  <c r="H608" i="10"/>
  <c r="I608" i="10" s="1"/>
  <c r="J608" i="10" s="1"/>
  <c r="H607" i="10"/>
  <c r="I607" i="10" s="1"/>
  <c r="J607" i="10" s="1"/>
  <c r="H606" i="10"/>
  <c r="I606" i="10" s="1"/>
  <c r="J606" i="10" s="1"/>
  <c r="H605" i="10"/>
  <c r="I605" i="10" s="1"/>
  <c r="J605" i="10" s="1"/>
  <c r="H604" i="10"/>
  <c r="I604" i="10" s="1"/>
  <c r="J604" i="10" s="1"/>
  <c r="H603" i="10"/>
  <c r="I603" i="10" s="1"/>
  <c r="J603" i="10" s="1"/>
  <c r="H602" i="10"/>
  <c r="I602" i="10" s="1"/>
  <c r="J602" i="10" s="1"/>
  <c r="H601" i="10"/>
  <c r="I601" i="10" s="1"/>
  <c r="J601" i="10" s="1"/>
  <c r="H600" i="10"/>
  <c r="I600" i="10" s="1"/>
  <c r="J600" i="10" s="1"/>
  <c r="H599" i="10"/>
  <c r="I599" i="10" s="1"/>
  <c r="J599" i="10" s="1"/>
  <c r="H598" i="10"/>
  <c r="I598" i="10" s="1"/>
  <c r="J598" i="10" s="1"/>
  <c r="H597" i="10"/>
  <c r="I597" i="10" s="1"/>
  <c r="J597" i="10" s="1"/>
  <c r="H596" i="10"/>
  <c r="I596" i="10" s="1"/>
  <c r="J596" i="10" s="1"/>
  <c r="H595" i="10"/>
  <c r="I595" i="10" s="1"/>
  <c r="J595" i="10" s="1"/>
  <c r="H594" i="10"/>
  <c r="I594" i="10" s="1"/>
  <c r="J594" i="10" s="1"/>
  <c r="H593" i="10"/>
  <c r="I593" i="10" s="1"/>
  <c r="J593" i="10" s="1"/>
  <c r="H592" i="10"/>
  <c r="I592" i="10" s="1"/>
  <c r="J592" i="10" s="1"/>
  <c r="H591" i="10"/>
  <c r="I591" i="10" s="1"/>
  <c r="J591" i="10" s="1"/>
  <c r="H590" i="10"/>
  <c r="I590" i="10" s="1"/>
  <c r="J590" i="10" s="1"/>
  <c r="H589" i="10"/>
  <c r="I589" i="10" s="1"/>
  <c r="J589" i="10" s="1"/>
  <c r="H588" i="10"/>
  <c r="I588" i="10" s="1"/>
  <c r="J588" i="10" s="1"/>
  <c r="H587" i="10"/>
  <c r="I587" i="10" s="1"/>
  <c r="J587" i="10" s="1"/>
  <c r="H586" i="10"/>
  <c r="I586" i="10" s="1"/>
  <c r="J586" i="10" s="1"/>
  <c r="H585" i="10"/>
  <c r="I585" i="10" s="1"/>
  <c r="J585" i="10" s="1"/>
  <c r="H584" i="10"/>
  <c r="I584" i="10" s="1"/>
  <c r="J584" i="10" s="1"/>
  <c r="H583" i="10"/>
  <c r="I583" i="10" s="1"/>
  <c r="J583" i="10" s="1"/>
  <c r="H582" i="10"/>
  <c r="I582" i="10" s="1"/>
  <c r="J582" i="10" s="1"/>
  <c r="H581" i="10"/>
  <c r="I581" i="10" s="1"/>
  <c r="J581" i="10" s="1"/>
  <c r="H579" i="10"/>
  <c r="I579" i="10" s="1"/>
  <c r="J579" i="10" s="1"/>
  <c r="H578" i="10"/>
  <c r="I578" i="10" s="1"/>
  <c r="J578" i="10" s="1"/>
  <c r="H577" i="10"/>
  <c r="I577" i="10" s="1"/>
  <c r="J577" i="10" s="1"/>
  <c r="H576" i="10"/>
  <c r="I576" i="10" s="1"/>
  <c r="J576" i="10" s="1"/>
  <c r="H575" i="10"/>
  <c r="I575" i="10" s="1"/>
  <c r="J575" i="10" s="1"/>
  <c r="H574" i="10"/>
  <c r="I574" i="10" s="1"/>
  <c r="J574" i="10" s="1"/>
  <c r="H573" i="10"/>
  <c r="I573" i="10" s="1"/>
  <c r="J573" i="10" s="1"/>
  <c r="H572" i="10"/>
  <c r="I572" i="10" s="1"/>
  <c r="J572" i="10" s="1"/>
  <c r="H571" i="10"/>
  <c r="I571" i="10" s="1"/>
  <c r="J571" i="10" s="1"/>
  <c r="H570" i="10"/>
  <c r="I570" i="10" s="1"/>
  <c r="J570" i="10" s="1"/>
  <c r="H569" i="10"/>
  <c r="I569" i="10" s="1"/>
  <c r="J569" i="10" s="1"/>
  <c r="H568" i="10"/>
  <c r="I568" i="10" s="1"/>
  <c r="J568" i="10" s="1"/>
  <c r="H567" i="10"/>
  <c r="I567" i="10" s="1"/>
  <c r="J567" i="10" s="1"/>
  <c r="H566" i="10"/>
  <c r="I566" i="10" s="1"/>
  <c r="J566" i="10" s="1"/>
  <c r="H565" i="10"/>
  <c r="I565" i="10" s="1"/>
  <c r="J565" i="10" s="1"/>
  <c r="H564" i="10"/>
  <c r="I564" i="10" s="1"/>
  <c r="J564" i="10" s="1"/>
  <c r="H563" i="10"/>
  <c r="I563" i="10" s="1"/>
  <c r="J563" i="10" s="1"/>
  <c r="H562" i="10"/>
  <c r="I562" i="10" s="1"/>
  <c r="J562" i="10" s="1"/>
  <c r="H561" i="10"/>
  <c r="I561" i="10" s="1"/>
  <c r="J561" i="10" s="1"/>
  <c r="H560" i="10"/>
  <c r="I560" i="10" s="1"/>
  <c r="J560" i="10" s="1"/>
  <c r="H559" i="10"/>
  <c r="I559" i="10" s="1"/>
  <c r="J559" i="10" s="1"/>
  <c r="H558" i="10"/>
  <c r="I558" i="10" s="1"/>
  <c r="J558" i="10" s="1"/>
  <c r="H557" i="10"/>
  <c r="I557" i="10" s="1"/>
  <c r="J557" i="10" s="1"/>
  <c r="H556" i="10"/>
  <c r="I556" i="10" s="1"/>
  <c r="J556" i="10" s="1"/>
  <c r="H555" i="10"/>
  <c r="I555" i="10" s="1"/>
  <c r="J555" i="10" s="1"/>
  <c r="H554" i="10"/>
  <c r="I554" i="10" s="1"/>
  <c r="J554" i="10" s="1"/>
  <c r="H553" i="10"/>
  <c r="I553" i="10" s="1"/>
  <c r="J553" i="10" s="1"/>
  <c r="H552" i="10"/>
  <c r="I552" i="10" s="1"/>
  <c r="J552" i="10" s="1"/>
  <c r="H551" i="10"/>
  <c r="I551" i="10" s="1"/>
  <c r="J551" i="10" s="1"/>
  <c r="H550" i="10"/>
  <c r="I550" i="10" s="1"/>
  <c r="J550" i="10" s="1"/>
  <c r="H549" i="10"/>
  <c r="I549" i="10" s="1"/>
  <c r="J549" i="10" s="1"/>
  <c r="H548" i="10"/>
  <c r="I548" i="10" s="1"/>
  <c r="J548" i="10" s="1"/>
  <c r="H547" i="10"/>
  <c r="I547" i="10" s="1"/>
  <c r="J547" i="10" s="1"/>
  <c r="H546" i="10"/>
  <c r="I546" i="10" s="1"/>
  <c r="J546" i="10" s="1"/>
  <c r="H544" i="10"/>
  <c r="I544" i="10" s="1"/>
  <c r="J544" i="10" s="1"/>
  <c r="H543" i="10"/>
  <c r="I543" i="10" s="1"/>
  <c r="J543" i="10" s="1"/>
  <c r="H542" i="10"/>
  <c r="I542" i="10" s="1"/>
  <c r="J542" i="10" s="1"/>
  <c r="H541" i="10"/>
  <c r="I541" i="10" s="1"/>
  <c r="J541" i="10" s="1"/>
  <c r="H540" i="10"/>
  <c r="I540" i="10" s="1"/>
  <c r="J540" i="10" s="1"/>
  <c r="H538" i="10"/>
  <c r="I538" i="10" s="1"/>
  <c r="J538" i="10" s="1"/>
  <c r="H537" i="10"/>
  <c r="I537" i="10" s="1"/>
  <c r="J537" i="10" s="1"/>
  <c r="H536" i="10"/>
  <c r="I536" i="10" s="1"/>
  <c r="J536" i="10" s="1"/>
  <c r="H534" i="10"/>
  <c r="I534" i="10" s="1"/>
  <c r="J534" i="10" s="1"/>
  <c r="H533" i="10"/>
  <c r="I533" i="10" s="1"/>
  <c r="J533" i="10" s="1"/>
  <c r="H532" i="10"/>
  <c r="I532" i="10" s="1"/>
  <c r="J532" i="10" s="1"/>
  <c r="H531" i="10"/>
  <c r="I531" i="10" s="1"/>
  <c r="J531" i="10" s="1"/>
  <c r="H530" i="10"/>
  <c r="I530" i="10" s="1"/>
  <c r="J530" i="10" s="1"/>
  <c r="H529" i="10"/>
  <c r="I529" i="10" s="1"/>
  <c r="J529" i="10" s="1"/>
  <c r="H528" i="10"/>
  <c r="I528" i="10" s="1"/>
  <c r="J528" i="10" s="1"/>
  <c r="H527" i="10"/>
  <c r="I527" i="10" s="1"/>
  <c r="J527" i="10" s="1"/>
  <c r="H526" i="10"/>
  <c r="I526" i="10" s="1"/>
  <c r="J526" i="10" s="1"/>
  <c r="H525" i="10"/>
  <c r="I525" i="10" s="1"/>
  <c r="J525" i="10" s="1"/>
  <c r="H524" i="10"/>
  <c r="I524" i="10" s="1"/>
  <c r="J524" i="10" s="1"/>
  <c r="H523" i="10"/>
  <c r="I523" i="10" s="1"/>
  <c r="J523" i="10" s="1"/>
  <c r="H522" i="10"/>
  <c r="I522" i="10" s="1"/>
  <c r="J522" i="10" s="1"/>
  <c r="H521" i="10"/>
  <c r="I521" i="10" s="1"/>
  <c r="J521" i="10" s="1"/>
  <c r="H520" i="10"/>
  <c r="I520" i="10" s="1"/>
  <c r="J520" i="10" s="1"/>
  <c r="H519" i="10"/>
  <c r="I519" i="10" s="1"/>
  <c r="J519" i="10" s="1"/>
  <c r="H518" i="10"/>
  <c r="I518" i="10" s="1"/>
  <c r="J518" i="10" s="1"/>
  <c r="H517" i="10"/>
  <c r="I517" i="10" s="1"/>
  <c r="J517" i="10" s="1"/>
  <c r="H516" i="10"/>
  <c r="I516" i="10" s="1"/>
  <c r="J516" i="10" s="1"/>
  <c r="H514" i="10"/>
  <c r="I514" i="10" s="1"/>
  <c r="J514" i="10" s="1"/>
  <c r="H513" i="10"/>
  <c r="I513" i="10" s="1"/>
  <c r="J513" i="10" s="1"/>
  <c r="H512" i="10"/>
  <c r="I512" i="10" s="1"/>
  <c r="J512" i="10" s="1"/>
  <c r="H511" i="10"/>
  <c r="I511" i="10" s="1"/>
  <c r="J511" i="10" s="1"/>
  <c r="H510" i="10"/>
  <c r="I510" i="10" s="1"/>
  <c r="J510" i="10" s="1"/>
  <c r="H509" i="10"/>
  <c r="I509" i="10" s="1"/>
  <c r="J509" i="10" s="1"/>
  <c r="H508" i="10"/>
  <c r="I508" i="10" s="1"/>
  <c r="J508" i="10" s="1"/>
  <c r="H507" i="10"/>
  <c r="I507" i="10" s="1"/>
  <c r="J507" i="10" s="1"/>
  <c r="H506" i="10"/>
  <c r="I506" i="10" s="1"/>
  <c r="J506" i="10" s="1"/>
  <c r="H505" i="10"/>
  <c r="I505" i="10" s="1"/>
  <c r="J505" i="10" s="1"/>
  <c r="H504" i="10"/>
  <c r="I504" i="10" s="1"/>
  <c r="J504" i="10" s="1"/>
  <c r="H503" i="10"/>
  <c r="I503" i="10" s="1"/>
  <c r="J503" i="10" s="1"/>
  <c r="H502" i="10"/>
  <c r="I502" i="10" s="1"/>
  <c r="J502" i="10" s="1"/>
  <c r="H501" i="10"/>
  <c r="I501" i="10" s="1"/>
  <c r="J501" i="10" s="1"/>
  <c r="H500" i="10"/>
  <c r="I500" i="10" s="1"/>
  <c r="J500" i="10" s="1"/>
  <c r="H499" i="10"/>
  <c r="I499" i="10" s="1"/>
  <c r="J499" i="10" s="1"/>
  <c r="H498" i="10"/>
  <c r="I498" i="10" s="1"/>
  <c r="J498" i="10" s="1"/>
  <c r="H497" i="10"/>
  <c r="I497" i="10" s="1"/>
  <c r="J497" i="10" s="1"/>
  <c r="H496" i="10"/>
  <c r="I496" i="10" s="1"/>
  <c r="J496" i="10" s="1"/>
  <c r="H495" i="10"/>
  <c r="I495" i="10" s="1"/>
  <c r="J495" i="10" s="1"/>
  <c r="H494" i="10"/>
  <c r="I494" i="10" s="1"/>
  <c r="J494" i="10" s="1"/>
  <c r="H493" i="10"/>
  <c r="I493" i="10" s="1"/>
  <c r="J493" i="10" s="1"/>
  <c r="H492" i="10"/>
  <c r="I492" i="10" s="1"/>
  <c r="J492" i="10" s="1"/>
  <c r="H491" i="10"/>
  <c r="I491" i="10" s="1"/>
  <c r="J491" i="10" s="1"/>
  <c r="H490" i="10"/>
  <c r="I490" i="10" s="1"/>
  <c r="J490" i="10" s="1"/>
  <c r="H488" i="10"/>
  <c r="I488" i="10" s="1"/>
  <c r="J488" i="10" s="1"/>
  <c r="H487" i="10"/>
  <c r="I487" i="10" s="1"/>
  <c r="J487" i="10" s="1"/>
  <c r="H486" i="10"/>
  <c r="I486" i="10" s="1"/>
  <c r="J486" i="10" s="1"/>
  <c r="H485" i="10"/>
  <c r="I485" i="10" s="1"/>
  <c r="J485" i="10" s="1"/>
  <c r="H484" i="10"/>
  <c r="I484" i="10" s="1"/>
  <c r="J484" i="10" s="1"/>
  <c r="H483" i="10"/>
  <c r="I483" i="10" s="1"/>
  <c r="J483" i="10" s="1"/>
  <c r="H482" i="10"/>
  <c r="I482" i="10" s="1"/>
  <c r="J482" i="10" s="1"/>
  <c r="H481" i="10"/>
  <c r="I481" i="10" s="1"/>
  <c r="J481" i="10" s="1"/>
  <c r="H480" i="10"/>
  <c r="I480" i="10" s="1"/>
  <c r="J480" i="10" s="1"/>
  <c r="H479" i="10"/>
  <c r="I479" i="10" s="1"/>
  <c r="J479" i="10" s="1"/>
  <c r="H478" i="10"/>
  <c r="I478" i="10" s="1"/>
  <c r="J478" i="10" s="1"/>
  <c r="H477" i="10"/>
  <c r="I477" i="10" s="1"/>
  <c r="J477" i="10" s="1"/>
  <c r="H476" i="10"/>
  <c r="I476" i="10" s="1"/>
  <c r="J476" i="10" s="1"/>
  <c r="H475" i="10"/>
  <c r="I475" i="10" s="1"/>
  <c r="J475" i="10" s="1"/>
  <c r="H474" i="10"/>
  <c r="I474" i="10" s="1"/>
  <c r="J474" i="10" s="1"/>
  <c r="H473" i="10"/>
  <c r="I473" i="10" s="1"/>
  <c r="J473" i="10" s="1"/>
  <c r="H472" i="10"/>
  <c r="I472" i="10" s="1"/>
  <c r="J472" i="10" s="1"/>
  <c r="H471" i="10"/>
  <c r="I471" i="10" s="1"/>
  <c r="J471" i="10" s="1"/>
  <c r="H470" i="10"/>
  <c r="I470" i="10" s="1"/>
  <c r="J470" i="10" s="1"/>
  <c r="H469" i="10"/>
  <c r="I469" i="10" s="1"/>
  <c r="J469" i="10" s="1"/>
  <c r="H468" i="10"/>
  <c r="I468" i="10" s="1"/>
  <c r="J468" i="10" s="1"/>
  <c r="H467" i="10"/>
  <c r="I467" i="10" s="1"/>
  <c r="J467" i="10" s="1"/>
  <c r="H466" i="10"/>
  <c r="I466" i="10" s="1"/>
  <c r="J466" i="10" s="1"/>
  <c r="H465" i="10"/>
  <c r="I465" i="10" s="1"/>
  <c r="J465" i="10" s="1"/>
  <c r="H464" i="10"/>
  <c r="I464" i="10" s="1"/>
  <c r="J464" i="10" s="1"/>
  <c r="H463" i="10"/>
  <c r="I463" i="10" s="1"/>
  <c r="J463" i="10" s="1"/>
  <c r="H462" i="10"/>
  <c r="I462" i="10" s="1"/>
  <c r="J462" i="10" s="1"/>
  <c r="H461" i="10"/>
  <c r="I461" i="10" s="1"/>
  <c r="J461" i="10" s="1"/>
  <c r="H460" i="10"/>
  <c r="I460" i="10" s="1"/>
  <c r="J460" i="10" s="1"/>
  <c r="H459" i="10"/>
  <c r="I459" i="10" s="1"/>
  <c r="J459" i="10" s="1"/>
  <c r="H458" i="10"/>
  <c r="I458" i="10" s="1"/>
  <c r="J458" i="10" s="1"/>
  <c r="H457" i="10"/>
  <c r="I457" i="10" s="1"/>
  <c r="J457" i="10" s="1"/>
  <c r="H456" i="10"/>
  <c r="I456" i="10" s="1"/>
  <c r="J456" i="10" s="1"/>
  <c r="H455" i="10"/>
  <c r="I455" i="10" s="1"/>
  <c r="J455" i="10" s="1"/>
  <c r="H454" i="10"/>
  <c r="I454" i="10" s="1"/>
  <c r="J454" i="10" s="1"/>
  <c r="H453" i="10"/>
  <c r="I453" i="10" s="1"/>
  <c r="J453" i="10" s="1"/>
  <c r="H452" i="10"/>
  <c r="I452" i="10" s="1"/>
  <c r="J452" i="10" s="1"/>
  <c r="H451" i="10"/>
  <c r="I451" i="10" s="1"/>
  <c r="J451" i="10" s="1"/>
  <c r="H450" i="10"/>
  <c r="I450" i="10" s="1"/>
  <c r="J450" i="10" s="1"/>
  <c r="H449" i="10"/>
  <c r="I449" i="10" s="1"/>
  <c r="J449" i="10" s="1"/>
  <c r="H448" i="10"/>
  <c r="I448" i="10" s="1"/>
  <c r="J448" i="10" s="1"/>
  <c r="H447" i="10"/>
  <c r="I447" i="10" s="1"/>
  <c r="J447" i="10" s="1"/>
  <c r="H446" i="10"/>
  <c r="I446" i="10" s="1"/>
  <c r="J446" i="10" s="1"/>
  <c r="H445" i="10"/>
  <c r="I445" i="10" s="1"/>
  <c r="J445" i="10" s="1"/>
  <c r="H444" i="10"/>
  <c r="I444" i="10" s="1"/>
  <c r="J444" i="10" s="1"/>
  <c r="H443" i="10"/>
  <c r="I443" i="10" s="1"/>
  <c r="J443" i="10" s="1"/>
  <c r="H442" i="10"/>
  <c r="I442" i="10" s="1"/>
  <c r="J442" i="10" s="1"/>
  <c r="H441" i="10"/>
  <c r="I441" i="10" s="1"/>
  <c r="J441" i="10" s="1"/>
  <c r="H440" i="10"/>
  <c r="I440" i="10" s="1"/>
  <c r="J440" i="10" s="1"/>
  <c r="H439" i="10"/>
  <c r="I439" i="10" s="1"/>
  <c r="J439" i="10" s="1"/>
  <c r="H438" i="10"/>
  <c r="I438" i="10" s="1"/>
  <c r="J438" i="10" s="1"/>
  <c r="H437" i="10"/>
  <c r="I437" i="10" s="1"/>
  <c r="J437" i="10" s="1"/>
  <c r="H436" i="10"/>
  <c r="I436" i="10" s="1"/>
  <c r="J436" i="10" s="1"/>
  <c r="H435" i="10"/>
  <c r="I435" i="10" s="1"/>
  <c r="J435" i="10" s="1"/>
  <c r="H434" i="10"/>
  <c r="I434" i="10" s="1"/>
  <c r="J434" i="10" s="1"/>
  <c r="H433" i="10"/>
  <c r="I433" i="10" s="1"/>
  <c r="J433" i="10" s="1"/>
  <c r="H432" i="10"/>
  <c r="I432" i="10" s="1"/>
  <c r="J432" i="10" s="1"/>
  <c r="H431" i="10"/>
  <c r="I431" i="10" s="1"/>
  <c r="J431" i="10" s="1"/>
  <c r="H430" i="10"/>
  <c r="I430" i="10" s="1"/>
  <c r="J430" i="10" s="1"/>
  <c r="H429" i="10"/>
  <c r="I429" i="10" s="1"/>
  <c r="J429" i="10" s="1"/>
  <c r="H428" i="10"/>
  <c r="I428" i="10" s="1"/>
  <c r="J428" i="10" s="1"/>
  <c r="H427" i="10"/>
  <c r="I427" i="10" s="1"/>
  <c r="J427" i="10" s="1"/>
  <c r="H426" i="10"/>
  <c r="I426" i="10" s="1"/>
  <c r="J426" i="10" s="1"/>
  <c r="H425" i="10"/>
  <c r="I425" i="10" s="1"/>
  <c r="J425" i="10" s="1"/>
  <c r="H424" i="10"/>
  <c r="I424" i="10" s="1"/>
  <c r="J424" i="10" s="1"/>
  <c r="H423" i="10"/>
  <c r="I423" i="10" s="1"/>
  <c r="J423" i="10" s="1"/>
  <c r="H422" i="10"/>
  <c r="I422" i="10" s="1"/>
  <c r="J422" i="10" s="1"/>
  <c r="H421" i="10"/>
  <c r="I421" i="10" s="1"/>
  <c r="J421" i="10" s="1"/>
  <c r="H420" i="10"/>
  <c r="I420" i="10" s="1"/>
  <c r="J420" i="10" s="1"/>
  <c r="H419" i="10"/>
  <c r="I419" i="10" s="1"/>
  <c r="J419" i="10" s="1"/>
  <c r="H418" i="10"/>
  <c r="I418" i="10" s="1"/>
  <c r="J418" i="10" s="1"/>
  <c r="H417" i="10"/>
  <c r="I417" i="10" s="1"/>
  <c r="J417" i="10" s="1"/>
  <c r="H416" i="10"/>
  <c r="I416" i="10" s="1"/>
  <c r="J416" i="10" s="1"/>
  <c r="H415" i="10"/>
  <c r="I415" i="10" s="1"/>
  <c r="J415" i="10" s="1"/>
  <c r="H414" i="10"/>
  <c r="I414" i="10" s="1"/>
  <c r="J414" i="10" s="1"/>
  <c r="H413" i="10"/>
  <c r="I413" i="10" s="1"/>
  <c r="J413" i="10" s="1"/>
  <c r="H412" i="10"/>
  <c r="I412" i="10" s="1"/>
  <c r="J412" i="10" s="1"/>
  <c r="H411" i="10"/>
  <c r="I411" i="10" s="1"/>
  <c r="J411" i="10" s="1"/>
  <c r="H410" i="10"/>
  <c r="I410" i="10" s="1"/>
  <c r="J410" i="10" s="1"/>
  <c r="H409" i="10"/>
  <c r="I409" i="10" s="1"/>
  <c r="J409" i="10" s="1"/>
  <c r="H408" i="10"/>
  <c r="I408" i="10" s="1"/>
  <c r="J408" i="10" s="1"/>
  <c r="H407" i="10"/>
  <c r="I407" i="10" s="1"/>
  <c r="J407" i="10" s="1"/>
  <c r="H406" i="10"/>
  <c r="I406" i="10" s="1"/>
  <c r="J406" i="10" s="1"/>
  <c r="H405" i="10"/>
  <c r="I405" i="10" s="1"/>
  <c r="J405" i="10" s="1"/>
  <c r="H404" i="10"/>
  <c r="I404" i="10" s="1"/>
  <c r="J404" i="10" s="1"/>
  <c r="H403" i="10"/>
  <c r="I403" i="10" s="1"/>
  <c r="J403" i="10" s="1"/>
  <c r="H402" i="10"/>
  <c r="I402" i="10" s="1"/>
  <c r="J402" i="10" s="1"/>
  <c r="H401" i="10"/>
  <c r="I401" i="10" s="1"/>
  <c r="J401" i="10" s="1"/>
  <c r="H400" i="10"/>
  <c r="I400" i="10" s="1"/>
  <c r="J400" i="10" s="1"/>
  <c r="H399" i="10"/>
  <c r="I399" i="10" s="1"/>
  <c r="J399" i="10" s="1"/>
  <c r="H398" i="10"/>
  <c r="I398" i="10" s="1"/>
  <c r="J398" i="10" s="1"/>
  <c r="H397" i="10"/>
  <c r="I397" i="10" s="1"/>
  <c r="J397" i="10" s="1"/>
  <c r="H396" i="10"/>
  <c r="I396" i="10" s="1"/>
  <c r="J396" i="10" s="1"/>
  <c r="H395" i="10"/>
  <c r="I395" i="10" s="1"/>
  <c r="J395" i="10" s="1"/>
  <c r="H394" i="10"/>
  <c r="I394" i="10" s="1"/>
  <c r="J394" i="10" s="1"/>
  <c r="H393" i="10"/>
  <c r="I393" i="10" s="1"/>
  <c r="J393" i="10" s="1"/>
  <c r="H392" i="10"/>
  <c r="I392" i="10" s="1"/>
  <c r="J392" i="10" s="1"/>
  <c r="H391" i="10"/>
  <c r="I391" i="10" s="1"/>
  <c r="J391" i="10" s="1"/>
  <c r="H390" i="10"/>
  <c r="I390" i="10" s="1"/>
  <c r="J390" i="10" s="1"/>
  <c r="H389" i="10"/>
  <c r="I389" i="10" s="1"/>
  <c r="J389" i="10" s="1"/>
  <c r="H388" i="10"/>
  <c r="I388" i="10" s="1"/>
  <c r="J388" i="10" s="1"/>
  <c r="H387" i="10"/>
  <c r="I387" i="10" s="1"/>
  <c r="J387" i="10" s="1"/>
  <c r="H386" i="10"/>
  <c r="I386" i="10" s="1"/>
  <c r="J386" i="10" s="1"/>
  <c r="H385" i="10"/>
  <c r="I385" i="10" s="1"/>
  <c r="J385" i="10" s="1"/>
  <c r="H384" i="10"/>
  <c r="I384" i="10" s="1"/>
  <c r="J384" i="10" s="1"/>
  <c r="H383" i="10"/>
  <c r="I383" i="10" s="1"/>
  <c r="J383" i="10" s="1"/>
  <c r="H382" i="10"/>
  <c r="F382" i="10"/>
  <c r="H381" i="10"/>
  <c r="I381" i="10" s="1"/>
  <c r="J381" i="10" s="1"/>
  <c r="H380" i="10"/>
  <c r="I380" i="10" s="1"/>
  <c r="J380" i="10" s="1"/>
  <c r="H379" i="10"/>
  <c r="I379" i="10" s="1"/>
  <c r="J379" i="10" s="1"/>
  <c r="H378" i="10"/>
  <c r="I378" i="10" s="1"/>
  <c r="J378" i="10" s="1"/>
  <c r="H377" i="10"/>
  <c r="I377" i="10" s="1"/>
  <c r="J377" i="10" s="1"/>
  <c r="H376" i="10"/>
  <c r="I376" i="10" s="1"/>
  <c r="J376" i="10" s="1"/>
  <c r="H375" i="10"/>
  <c r="I375" i="10" s="1"/>
  <c r="J375" i="10" s="1"/>
  <c r="H374" i="10"/>
  <c r="I374" i="10" s="1"/>
  <c r="J374" i="10" s="1"/>
  <c r="H373" i="10"/>
  <c r="I373" i="10" s="1"/>
  <c r="J373" i="10" s="1"/>
  <c r="H372" i="10"/>
  <c r="I372" i="10" s="1"/>
  <c r="J372" i="10" s="1"/>
  <c r="H371" i="10"/>
  <c r="I371" i="10" s="1"/>
  <c r="J371" i="10" s="1"/>
  <c r="H370" i="10"/>
  <c r="I370" i="10" s="1"/>
  <c r="J370" i="10" s="1"/>
  <c r="H369" i="10"/>
  <c r="I369" i="10" s="1"/>
  <c r="J369" i="10" s="1"/>
  <c r="H368" i="10"/>
  <c r="I368" i="10" s="1"/>
  <c r="J368" i="10" s="1"/>
  <c r="H367" i="10"/>
  <c r="I367" i="10" s="1"/>
  <c r="J367" i="10" s="1"/>
  <c r="H366" i="10"/>
  <c r="I366" i="10" s="1"/>
  <c r="J366" i="10" s="1"/>
  <c r="H365" i="10"/>
  <c r="I365" i="10" s="1"/>
  <c r="J365" i="10" s="1"/>
  <c r="H364" i="10"/>
  <c r="I364" i="10" s="1"/>
  <c r="J364" i="10" s="1"/>
  <c r="H363" i="10"/>
  <c r="I363" i="10" s="1"/>
  <c r="J363" i="10" s="1"/>
  <c r="H362" i="10"/>
  <c r="I362" i="10" s="1"/>
  <c r="J362" i="10" s="1"/>
  <c r="H361" i="10"/>
  <c r="I361" i="10" s="1"/>
  <c r="J361" i="10" s="1"/>
  <c r="H360" i="10"/>
  <c r="I360" i="10" s="1"/>
  <c r="J360" i="10" s="1"/>
  <c r="H359" i="10"/>
  <c r="I359" i="10" s="1"/>
  <c r="J359" i="10" s="1"/>
  <c r="H358" i="10"/>
  <c r="I358" i="10" s="1"/>
  <c r="J358" i="10" s="1"/>
  <c r="H357" i="10"/>
  <c r="I357" i="10" s="1"/>
  <c r="J357" i="10" s="1"/>
  <c r="H356" i="10"/>
  <c r="I356" i="10" s="1"/>
  <c r="J356" i="10" s="1"/>
  <c r="H355" i="10"/>
  <c r="I355" i="10" s="1"/>
  <c r="J355" i="10" s="1"/>
  <c r="H354" i="10"/>
  <c r="I354" i="10" s="1"/>
  <c r="J354" i="10" s="1"/>
  <c r="H353" i="10"/>
  <c r="I353" i="10" s="1"/>
  <c r="J353" i="10" s="1"/>
  <c r="H352" i="10"/>
  <c r="I352" i="10" s="1"/>
  <c r="J352" i="10" s="1"/>
  <c r="H351" i="10"/>
  <c r="I351" i="10" s="1"/>
  <c r="J351" i="10" s="1"/>
  <c r="H350" i="10"/>
  <c r="I350" i="10" s="1"/>
  <c r="J350" i="10" s="1"/>
  <c r="H349" i="10"/>
  <c r="I349" i="10" s="1"/>
  <c r="J349" i="10" s="1"/>
  <c r="H348" i="10"/>
  <c r="I348" i="10" s="1"/>
  <c r="J348" i="10" s="1"/>
  <c r="H347" i="10"/>
  <c r="I347" i="10" s="1"/>
  <c r="J347" i="10" s="1"/>
  <c r="H346" i="10"/>
  <c r="I346" i="10" s="1"/>
  <c r="J346" i="10" s="1"/>
  <c r="H345" i="10"/>
  <c r="I345" i="10" s="1"/>
  <c r="J345" i="10" s="1"/>
  <c r="H344" i="10"/>
  <c r="I344" i="10" s="1"/>
  <c r="J344" i="10" s="1"/>
  <c r="H343" i="10"/>
  <c r="I343" i="10" s="1"/>
  <c r="J343" i="10" s="1"/>
  <c r="H342" i="10"/>
  <c r="I342" i="10" s="1"/>
  <c r="J342" i="10" s="1"/>
  <c r="H341" i="10"/>
  <c r="I341" i="10" s="1"/>
  <c r="J341" i="10" s="1"/>
  <c r="H340" i="10"/>
  <c r="I340" i="10" s="1"/>
  <c r="J340" i="10" s="1"/>
  <c r="H339" i="10"/>
  <c r="I339" i="10" s="1"/>
  <c r="J339" i="10" s="1"/>
  <c r="H338" i="10"/>
  <c r="I338" i="10" s="1"/>
  <c r="J338" i="10" s="1"/>
  <c r="H337" i="10"/>
  <c r="I337" i="10" s="1"/>
  <c r="J337" i="10" s="1"/>
  <c r="H336" i="10"/>
  <c r="I336" i="10" s="1"/>
  <c r="J336" i="10" s="1"/>
  <c r="H335" i="10"/>
  <c r="I335" i="10" s="1"/>
  <c r="J335" i="10" s="1"/>
  <c r="H334" i="10"/>
  <c r="I334" i="10" s="1"/>
  <c r="J334" i="10" s="1"/>
  <c r="H333" i="10"/>
  <c r="I333" i="10" s="1"/>
  <c r="J333" i="10" s="1"/>
  <c r="H332" i="10"/>
  <c r="I332" i="10" s="1"/>
  <c r="J332" i="10" s="1"/>
  <c r="H331" i="10"/>
  <c r="I331" i="10" s="1"/>
  <c r="J331" i="10" s="1"/>
  <c r="H330" i="10"/>
  <c r="I330" i="10" s="1"/>
  <c r="J330" i="10" s="1"/>
  <c r="H329" i="10"/>
  <c r="I329" i="10" s="1"/>
  <c r="J329" i="10" s="1"/>
  <c r="H328" i="10"/>
  <c r="I328" i="10" s="1"/>
  <c r="J328" i="10" s="1"/>
  <c r="H327" i="10"/>
  <c r="I327" i="10" s="1"/>
  <c r="J327" i="10" s="1"/>
  <c r="H326" i="10"/>
  <c r="I326" i="10" s="1"/>
  <c r="J326" i="10" s="1"/>
  <c r="H325" i="10"/>
  <c r="F325" i="10"/>
  <c r="H324" i="10"/>
  <c r="I324" i="10" s="1"/>
  <c r="J324" i="10" s="1"/>
  <c r="H323" i="10"/>
  <c r="F323" i="10"/>
  <c r="H322" i="10"/>
  <c r="I322" i="10" s="1"/>
  <c r="J322" i="10" s="1"/>
  <c r="H321" i="10"/>
  <c r="I321" i="10" s="1"/>
  <c r="J321" i="10" s="1"/>
  <c r="H320" i="10"/>
  <c r="I320" i="10" s="1"/>
  <c r="J320" i="10" s="1"/>
  <c r="H319" i="10"/>
  <c r="I319" i="10" s="1"/>
  <c r="J319" i="10" s="1"/>
  <c r="H318" i="10"/>
  <c r="I318" i="10" s="1"/>
  <c r="J318" i="10" s="1"/>
  <c r="H317" i="10"/>
  <c r="I317" i="10" s="1"/>
  <c r="J317" i="10" s="1"/>
  <c r="H316" i="10"/>
  <c r="I316" i="10" s="1"/>
  <c r="J316" i="10" s="1"/>
  <c r="H315" i="10"/>
  <c r="I315" i="10" s="1"/>
  <c r="J315" i="10" s="1"/>
  <c r="H314" i="10"/>
  <c r="I314" i="10" s="1"/>
  <c r="J314" i="10" s="1"/>
  <c r="H313" i="10"/>
  <c r="I313" i="10" s="1"/>
  <c r="J313" i="10" s="1"/>
  <c r="H312" i="10"/>
  <c r="I312" i="10" s="1"/>
  <c r="J312" i="10" s="1"/>
  <c r="H311" i="10"/>
  <c r="I311" i="10" s="1"/>
  <c r="J311" i="10" s="1"/>
  <c r="H310" i="10"/>
  <c r="I310" i="10" s="1"/>
  <c r="J310" i="10" s="1"/>
  <c r="H309" i="10"/>
  <c r="I309" i="10" s="1"/>
  <c r="J309" i="10" s="1"/>
  <c r="H308" i="10"/>
  <c r="I308" i="10" s="1"/>
  <c r="J308" i="10" s="1"/>
  <c r="H307" i="10"/>
  <c r="I307" i="10" s="1"/>
  <c r="J307" i="10" s="1"/>
  <c r="H306" i="10"/>
  <c r="I306" i="10" s="1"/>
  <c r="J306" i="10" s="1"/>
  <c r="H305" i="10"/>
  <c r="I305" i="10" s="1"/>
  <c r="J305" i="10" s="1"/>
  <c r="H304" i="10"/>
  <c r="I304" i="10" s="1"/>
  <c r="J304" i="10" s="1"/>
  <c r="H303" i="10"/>
  <c r="I303" i="10" s="1"/>
  <c r="J303" i="10" s="1"/>
  <c r="H302" i="10"/>
  <c r="I302" i="10" s="1"/>
  <c r="J302" i="10" s="1"/>
  <c r="H301" i="10"/>
  <c r="I301" i="10" s="1"/>
  <c r="J301" i="10" s="1"/>
  <c r="H300" i="10"/>
  <c r="I300" i="10" s="1"/>
  <c r="J300" i="10" s="1"/>
  <c r="H299" i="10"/>
  <c r="I299" i="10" s="1"/>
  <c r="J299" i="10" s="1"/>
  <c r="H298" i="10"/>
  <c r="I298" i="10" s="1"/>
  <c r="J298" i="10" s="1"/>
  <c r="H297" i="10"/>
  <c r="I297" i="10" s="1"/>
  <c r="J297" i="10" s="1"/>
  <c r="H296" i="10"/>
  <c r="I296" i="10" s="1"/>
  <c r="J296" i="10" s="1"/>
  <c r="H295" i="10"/>
  <c r="I295" i="10" s="1"/>
  <c r="J295" i="10" s="1"/>
  <c r="H294" i="10"/>
  <c r="I294" i="10" s="1"/>
  <c r="J294" i="10" s="1"/>
  <c r="H293" i="10"/>
  <c r="I293" i="10" s="1"/>
  <c r="J293" i="10" s="1"/>
  <c r="H292" i="10"/>
  <c r="I292" i="10" s="1"/>
  <c r="J292" i="10" s="1"/>
  <c r="H291" i="10"/>
  <c r="I291" i="10" s="1"/>
  <c r="J291" i="10" s="1"/>
  <c r="H290" i="10"/>
  <c r="I290" i="10" s="1"/>
  <c r="J290" i="10" s="1"/>
  <c r="H289" i="10"/>
  <c r="I289" i="10" s="1"/>
  <c r="J289" i="10" s="1"/>
  <c r="H288" i="10"/>
  <c r="I288" i="10" s="1"/>
  <c r="J288" i="10" s="1"/>
  <c r="H287" i="10"/>
  <c r="I287" i="10" s="1"/>
  <c r="J287" i="10" s="1"/>
  <c r="H286" i="10"/>
  <c r="I286" i="10" s="1"/>
  <c r="J286" i="10" s="1"/>
  <c r="H285" i="10"/>
  <c r="I285" i="10" s="1"/>
  <c r="J285" i="10" s="1"/>
  <c r="H284" i="10"/>
  <c r="I284" i="10" s="1"/>
  <c r="J284" i="10" s="1"/>
  <c r="H283" i="10"/>
  <c r="I283" i="10" s="1"/>
  <c r="J283" i="10" s="1"/>
  <c r="H282" i="10"/>
  <c r="I282" i="10" s="1"/>
  <c r="J282" i="10" s="1"/>
  <c r="H281" i="10"/>
  <c r="I281" i="10" s="1"/>
  <c r="J281" i="10" s="1"/>
  <c r="H280" i="10"/>
  <c r="I280" i="10" s="1"/>
  <c r="J280" i="10" s="1"/>
  <c r="H279" i="10"/>
  <c r="I279" i="10" s="1"/>
  <c r="J279" i="10" s="1"/>
  <c r="H278" i="10"/>
  <c r="I278" i="10" s="1"/>
  <c r="J278" i="10" s="1"/>
  <c r="H277" i="10"/>
  <c r="I277" i="10" s="1"/>
  <c r="J277" i="10" s="1"/>
  <c r="H276" i="10"/>
  <c r="I276" i="10" s="1"/>
  <c r="J276" i="10" s="1"/>
  <c r="H275" i="10"/>
  <c r="I275" i="10" s="1"/>
  <c r="J275" i="10" s="1"/>
  <c r="H274" i="10"/>
  <c r="I274" i="10" s="1"/>
  <c r="J274" i="10" s="1"/>
  <c r="H273" i="10"/>
  <c r="I273" i="10" s="1"/>
  <c r="J273" i="10" s="1"/>
  <c r="H272" i="10"/>
  <c r="I272" i="10" s="1"/>
  <c r="J272" i="10" s="1"/>
  <c r="H271" i="10"/>
  <c r="I271" i="10" s="1"/>
  <c r="J271" i="10" s="1"/>
  <c r="H270" i="10"/>
  <c r="I270" i="10" s="1"/>
  <c r="J270" i="10" s="1"/>
  <c r="I269" i="10"/>
  <c r="J269" i="10" s="1"/>
  <c r="H269" i="10"/>
  <c r="H268" i="10"/>
  <c r="I268" i="10" s="1"/>
  <c r="J268" i="10" s="1"/>
  <c r="H267" i="10"/>
  <c r="I267" i="10" s="1"/>
  <c r="J267" i="10" s="1"/>
  <c r="H266" i="10"/>
  <c r="I266" i="10" s="1"/>
  <c r="J266" i="10" s="1"/>
  <c r="H265" i="10"/>
  <c r="I265" i="10" s="1"/>
  <c r="J265" i="10" s="1"/>
  <c r="H264" i="10"/>
  <c r="I264" i="10" s="1"/>
  <c r="J264" i="10" s="1"/>
  <c r="H263" i="10"/>
  <c r="I263" i="10" s="1"/>
  <c r="J263" i="10" s="1"/>
  <c r="H262" i="10"/>
  <c r="I262" i="10" s="1"/>
  <c r="J262" i="10" s="1"/>
  <c r="H261" i="10"/>
  <c r="I261" i="10" s="1"/>
  <c r="J261" i="10" s="1"/>
  <c r="H260" i="10"/>
  <c r="I260" i="10" s="1"/>
  <c r="J260" i="10" s="1"/>
  <c r="H259" i="10"/>
  <c r="I259" i="10" s="1"/>
  <c r="J259" i="10" s="1"/>
  <c r="H258" i="10"/>
  <c r="I258" i="10" s="1"/>
  <c r="J258" i="10" s="1"/>
  <c r="H257" i="10"/>
  <c r="I257" i="10" s="1"/>
  <c r="J257" i="10" s="1"/>
  <c r="H256" i="10"/>
  <c r="I256" i="10" s="1"/>
  <c r="J256" i="10" s="1"/>
  <c r="H255" i="10"/>
  <c r="I255" i="10" s="1"/>
  <c r="J255" i="10" s="1"/>
  <c r="H254" i="10"/>
  <c r="I254" i="10" s="1"/>
  <c r="J254" i="10" s="1"/>
  <c r="H253" i="10"/>
  <c r="I253" i="10" s="1"/>
  <c r="J253" i="10" s="1"/>
  <c r="H252" i="10"/>
  <c r="I252" i="10" s="1"/>
  <c r="J252" i="10" s="1"/>
  <c r="H251" i="10"/>
  <c r="I251" i="10" s="1"/>
  <c r="J251" i="10" s="1"/>
  <c r="H250" i="10"/>
  <c r="I250" i="10" s="1"/>
  <c r="J250" i="10" s="1"/>
  <c r="H249" i="10"/>
  <c r="I249" i="10" s="1"/>
  <c r="J249" i="10" s="1"/>
  <c r="H248" i="10"/>
  <c r="I248" i="10" s="1"/>
  <c r="J248" i="10" s="1"/>
  <c r="H247" i="10"/>
  <c r="I247" i="10" s="1"/>
  <c r="J247" i="10" s="1"/>
  <c r="H246" i="10"/>
  <c r="I246" i="10" s="1"/>
  <c r="J246" i="10" s="1"/>
  <c r="H245" i="10"/>
  <c r="I245" i="10" s="1"/>
  <c r="J245" i="10" s="1"/>
  <c r="H244" i="10"/>
  <c r="I244" i="10" s="1"/>
  <c r="J244" i="10" s="1"/>
  <c r="H243" i="10"/>
  <c r="I243" i="10" s="1"/>
  <c r="J243" i="10" s="1"/>
  <c r="H242" i="10"/>
  <c r="I242" i="10" s="1"/>
  <c r="J242" i="10" s="1"/>
  <c r="H241" i="10"/>
  <c r="I241" i="10" s="1"/>
  <c r="J241" i="10" s="1"/>
  <c r="H240" i="10"/>
  <c r="I240" i="10" s="1"/>
  <c r="J240" i="10" s="1"/>
  <c r="H239" i="10"/>
  <c r="I239" i="10" s="1"/>
  <c r="J239" i="10" s="1"/>
  <c r="H238" i="10"/>
  <c r="I238" i="10" s="1"/>
  <c r="J238" i="10" s="1"/>
  <c r="H237" i="10"/>
  <c r="I237" i="10" s="1"/>
  <c r="J237" i="10" s="1"/>
  <c r="H236" i="10"/>
  <c r="I236" i="10" s="1"/>
  <c r="J236" i="10" s="1"/>
  <c r="H235" i="10"/>
  <c r="I235" i="10" s="1"/>
  <c r="J235" i="10" s="1"/>
  <c r="H234" i="10"/>
  <c r="I234" i="10" s="1"/>
  <c r="J234" i="10" s="1"/>
  <c r="H233" i="10"/>
  <c r="I233" i="10" s="1"/>
  <c r="J233" i="10" s="1"/>
  <c r="H232" i="10"/>
  <c r="I232" i="10" s="1"/>
  <c r="J232" i="10" s="1"/>
  <c r="H231" i="10"/>
  <c r="I231" i="10" s="1"/>
  <c r="J231" i="10" s="1"/>
  <c r="H230" i="10"/>
  <c r="I230" i="10" s="1"/>
  <c r="J230" i="10" s="1"/>
  <c r="H229" i="10"/>
  <c r="I229" i="10" s="1"/>
  <c r="J229" i="10" s="1"/>
  <c r="H228" i="10"/>
  <c r="I228" i="10" s="1"/>
  <c r="J228" i="10" s="1"/>
  <c r="H227" i="10"/>
  <c r="I227" i="10" s="1"/>
  <c r="J227" i="10" s="1"/>
  <c r="H226" i="10"/>
  <c r="I226" i="10" s="1"/>
  <c r="J226" i="10" s="1"/>
  <c r="H225" i="10"/>
  <c r="I225" i="10" s="1"/>
  <c r="J225" i="10" s="1"/>
  <c r="H224" i="10"/>
  <c r="I224" i="10" s="1"/>
  <c r="J224" i="10" s="1"/>
  <c r="H223" i="10"/>
  <c r="I223" i="10" s="1"/>
  <c r="J223" i="10" s="1"/>
  <c r="H222" i="10"/>
  <c r="I222" i="10" s="1"/>
  <c r="J222" i="10" s="1"/>
  <c r="H221" i="10"/>
  <c r="I221" i="10" s="1"/>
  <c r="J221" i="10" s="1"/>
  <c r="H220" i="10"/>
  <c r="I220" i="10" s="1"/>
  <c r="J220" i="10" s="1"/>
  <c r="H219" i="10"/>
  <c r="I219" i="10" s="1"/>
  <c r="J219" i="10" s="1"/>
  <c r="H218" i="10"/>
  <c r="I218" i="10" s="1"/>
  <c r="J218" i="10" s="1"/>
  <c r="H217" i="10"/>
  <c r="I217" i="10" s="1"/>
  <c r="J217" i="10" s="1"/>
  <c r="H216" i="10"/>
  <c r="I216" i="10" s="1"/>
  <c r="J216" i="10" s="1"/>
  <c r="H215" i="10"/>
  <c r="I215" i="10" s="1"/>
  <c r="J215" i="10" s="1"/>
  <c r="H214" i="10"/>
  <c r="I214" i="10" s="1"/>
  <c r="J214" i="10" s="1"/>
  <c r="I212" i="10"/>
  <c r="J212" i="10" s="1"/>
  <c r="H212" i="10"/>
  <c r="I211" i="10"/>
  <c r="J211" i="10" s="1"/>
  <c r="H211" i="10"/>
  <c r="I210" i="10"/>
  <c r="J210" i="10" s="1"/>
  <c r="H210" i="10"/>
  <c r="I209" i="10"/>
  <c r="J209" i="10" s="1"/>
  <c r="H209" i="10"/>
  <c r="I208" i="10"/>
  <c r="J208" i="10" s="1"/>
  <c r="H208" i="10"/>
  <c r="I207" i="10"/>
  <c r="J207" i="10" s="1"/>
  <c r="H207" i="10"/>
  <c r="I206" i="10"/>
  <c r="J206" i="10" s="1"/>
  <c r="H206" i="10"/>
  <c r="I205" i="10"/>
  <c r="J205" i="10" s="1"/>
  <c r="H205" i="10"/>
  <c r="I204" i="10"/>
  <c r="J204" i="10" s="1"/>
  <c r="H204" i="10"/>
  <c r="I203" i="10"/>
  <c r="J203" i="10" s="1"/>
  <c r="H203" i="10"/>
  <c r="I202" i="10"/>
  <c r="J202" i="10" s="1"/>
  <c r="H202" i="10"/>
  <c r="I201" i="10"/>
  <c r="J201" i="10" s="1"/>
  <c r="H201" i="10"/>
  <c r="I200" i="10"/>
  <c r="J200" i="10" s="1"/>
  <c r="H200" i="10"/>
  <c r="I199" i="10"/>
  <c r="J199" i="10" s="1"/>
  <c r="H199" i="10"/>
  <c r="I198" i="10"/>
  <c r="J198" i="10" s="1"/>
  <c r="H198" i="10"/>
  <c r="I197" i="10"/>
  <c r="J197" i="10" s="1"/>
  <c r="H197" i="10"/>
  <c r="I196" i="10"/>
  <c r="J196" i="10" s="1"/>
  <c r="H196" i="10"/>
  <c r="I195" i="10"/>
  <c r="J195" i="10" s="1"/>
  <c r="H195" i="10"/>
  <c r="H193" i="10"/>
  <c r="I193" i="10" s="1"/>
  <c r="J193" i="10" s="1"/>
  <c r="H192" i="10"/>
  <c r="I192" i="10" s="1"/>
  <c r="J192" i="10" s="1"/>
  <c r="H191" i="10"/>
  <c r="I191" i="10" s="1"/>
  <c r="J191" i="10" s="1"/>
  <c r="H190" i="10"/>
  <c r="I190" i="10" s="1"/>
  <c r="J190" i="10" s="1"/>
  <c r="H189" i="10"/>
  <c r="I189" i="10" s="1"/>
  <c r="J189" i="10" s="1"/>
  <c r="H188" i="10"/>
  <c r="I188" i="10" s="1"/>
  <c r="J188" i="10" s="1"/>
  <c r="H187" i="10"/>
  <c r="I187" i="10" s="1"/>
  <c r="J187" i="10" s="1"/>
  <c r="H186" i="10"/>
  <c r="I186" i="10" s="1"/>
  <c r="J186" i="10" s="1"/>
  <c r="H185" i="10"/>
  <c r="I185" i="10" s="1"/>
  <c r="J185" i="10" s="1"/>
  <c r="H184" i="10"/>
  <c r="I184" i="10" s="1"/>
  <c r="J184" i="10" s="1"/>
  <c r="H183" i="10"/>
  <c r="I183" i="10" s="1"/>
  <c r="J183" i="10" s="1"/>
  <c r="H182" i="10"/>
  <c r="I182" i="10" s="1"/>
  <c r="J182" i="10" s="1"/>
  <c r="H181" i="10"/>
  <c r="I181" i="10" s="1"/>
  <c r="J181" i="10" s="1"/>
  <c r="H180" i="10"/>
  <c r="I180" i="10" s="1"/>
  <c r="J180" i="10" s="1"/>
  <c r="H179" i="10"/>
  <c r="I179" i="10" s="1"/>
  <c r="J179" i="10" s="1"/>
  <c r="H178" i="10"/>
  <c r="I178" i="10" s="1"/>
  <c r="J178" i="10" s="1"/>
  <c r="H177" i="10"/>
  <c r="I177" i="10" s="1"/>
  <c r="J177" i="10" s="1"/>
  <c r="H176" i="10"/>
  <c r="I176" i="10" s="1"/>
  <c r="J176" i="10" s="1"/>
  <c r="H175" i="10"/>
  <c r="I175" i="10" s="1"/>
  <c r="J175" i="10" s="1"/>
  <c r="H174" i="10"/>
  <c r="I174" i="10" s="1"/>
  <c r="J174" i="10" s="1"/>
  <c r="H173" i="10"/>
  <c r="I173" i="10" s="1"/>
  <c r="J173" i="10" s="1"/>
  <c r="H172" i="10"/>
  <c r="I172" i="10" s="1"/>
  <c r="J172" i="10" s="1"/>
  <c r="H170" i="10"/>
  <c r="I170" i="10" s="1"/>
  <c r="J170" i="10" s="1"/>
  <c r="H169" i="10"/>
  <c r="I169" i="10" s="1"/>
  <c r="J169" i="10" s="1"/>
  <c r="H168" i="10"/>
  <c r="I168" i="10" s="1"/>
  <c r="J168" i="10" s="1"/>
  <c r="H167" i="10"/>
  <c r="I167" i="10" s="1"/>
  <c r="J167" i="10" s="1"/>
  <c r="H166" i="10"/>
  <c r="I166" i="10" s="1"/>
  <c r="J166" i="10" s="1"/>
  <c r="H165" i="10"/>
  <c r="I165" i="10" s="1"/>
  <c r="J165" i="10" s="1"/>
  <c r="H164" i="10"/>
  <c r="I164" i="10" s="1"/>
  <c r="J164" i="10" s="1"/>
  <c r="H163" i="10"/>
  <c r="I163" i="10" s="1"/>
  <c r="J163" i="10" s="1"/>
  <c r="H162" i="10"/>
  <c r="I162" i="10" s="1"/>
  <c r="J162" i="10" s="1"/>
  <c r="H161" i="10"/>
  <c r="I161" i="10" s="1"/>
  <c r="J161" i="10" s="1"/>
  <c r="H160" i="10"/>
  <c r="I160" i="10" s="1"/>
  <c r="J160" i="10" s="1"/>
  <c r="H159" i="10"/>
  <c r="I159" i="10" s="1"/>
  <c r="J159" i="10" s="1"/>
  <c r="H158" i="10"/>
  <c r="I158" i="10" s="1"/>
  <c r="J158" i="10" s="1"/>
  <c r="H157" i="10"/>
  <c r="I157" i="10" s="1"/>
  <c r="J157" i="10" s="1"/>
  <c r="H156" i="10"/>
  <c r="I156" i="10" s="1"/>
  <c r="J156" i="10" s="1"/>
  <c r="H155" i="10"/>
  <c r="I155" i="10" s="1"/>
  <c r="J155" i="10" s="1"/>
  <c r="H154" i="10"/>
  <c r="I154" i="10" s="1"/>
  <c r="J154" i="10" s="1"/>
  <c r="H153" i="10"/>
  <c r="I153" i="10" s="1"/>
  <c r="J153" i="10" s="1"/>
  <c r="H152" i="10"/>
  <c r="I152" i="10" s="1"/>
  <c r="J152" i="10" s="1"/>
  <c r="H151" i="10"/>
  <c r="I151" i="10" s="1"/>
  <c r="J151" i="10" s="1"/>
  <c r="H150" i="10"/>
  <c r="I150" i="10" s="1"/>
  <c r="J150" i="10" s="1"/>
  <c r="H149" i="10"/>
  <c r="I149" i="10" s="1"/>
  <c r="J149" i="10" s="1"/>
  <c r="H148" i="10"/>
  <c r="I148" i="10" s="1"/>
  <c r="J148" i="10" s="1"/>
  <c r="H147" i="10"/>
  <c r="I147" i="10" s="1"/>
  <c r="J147" i="10" s="1"/>
  <c r="H146" i="10"/>
  <c r="I146" i="10" s="1"/>
  <c r="J146" i="10" s="1"/>
  <c r="H145" i="10"/>
  <c r="I145" i="10" s="1"/>
  <c r="J145" i="10" s="1"/>
  <c r="H144" i="10"/>
  <c r="I144" i="10" s="1"/>
  <c r="J144" i="10" s="1"/>
  <c r="H143" i="10"/>
  <c r="I143" i="10" s="1"/>
  <c r="J143" i="10" s="1"/>
  <c r="H142" i="10"/>
  <c r="I142" i="10" s="1"/>
  <c r="J142" i="10" s="1"/>
  <c r="H141" i="10"/>
  <c r="I141" i="10" s="1"/>
  <c r="J141" i="10" s="1"/>
  <c r="H140" i="10"/>
  <c r="I140" i="10" s="1"/>
  <c r="J140" i="10" s="1"/>
  <c r="H139" i="10"/>
  <c r="I139" i="10" s="1"/>
  <c r="J139" i="10" s="1"/>
  <c r="H138" i="10"/>
  <c r="I138" i="10" s="1"/>
  <c r="J138" i="10" s="1"/>
  <c r="H137" i="10"/>
  <c r="I137" i="10" s="1"/>
  <c r="J137" i="10" s="1"/>
  <c r="H136" i="10"/>
  <c r="I136" i="10" s="1"/>
  <c r="J136" i="10" s="1"/>
  <c r="H135" i="10"/>
  <c r="I135" i="10" s="1"/>
  <c r="J135" i="10" s="1"/>
  <c r="H134" i="10"/>
  <c r="I134" i="10" s="1"/>
  <c r="J134" i="10" s="1"/>
  <c r="H133" i="10"/>
  <c r="I133" i="10" s="1"/>
  <c r="J133" i="10" s="1"/>
  <c r="H132" i="10"/>
  <c r="I132" i="10" s="1"/>
  <c r="J132" i="10" s="1"/>
  <c r="H131" i="10"/>
  <c r="I131" i="10" s="1"/>
  <c r="J131" i="10" s="1"/>
  <c r="H130" i="10"/>
  <c r="I130" i="10" s="1"/>
  <c r="J130" i="10" s="1"/>
  <c r="H129" i="10"/>
  <c r="I129" i="10" s="1"/>
  <c r="J129" i="10" s="1"/>
  <c r="H128" i="10"/>
  <c r="I128" i="10" s="1"/>
  <c r="J128" i="10" s="1"/>
  <c r="H127" i="10"/>
  <c r="I127" i="10" s="1"/>
  <c r="J127" i="10" s="1"/>
  <c r="H126" i="10"/>
  <c r="I126" i="10" s="1"/>
  <c r="J126" i="10" s="1"/>
  <c r="H125" i="10"/>
  <c r="I125" i="10" s="1"/>
  <c r="J125" i="10" s="1"/>
  <c r="H124" i="10"/>
  <c r="I124" i="10" s="1"/>
  <c r="J124" i="10" s="1"/>
  <c r="H123" i="10"/>
  <c r="I123" i="10" s="1"/>
  <c r="J123" i="10" s="1"/>
  <c r="H122" i="10"/>
  <c r="I122" i="10" s="1"/>
  <c r="J122" i="10" s="1"/>
  <c r="H121" i="10"/>
  <c r="I121" i="10" s="1"/>
  <c r="J121" i="10" s="1"/>
  <c r="H120" i="10"/>
  <c r="I120" i="10" s="1"/>
  <c r="J120" i="10" s="1"/>
  <c r="H119" i="10"/>
  <c r="I119" i="10" s="1"/>
  <c r="J119" i="10" s="1"/>
  <c r="H118" i="10"/>
  <c r="I118" i="10" s="1"/>
  <c r="J118" i="10" s="1"/>
  <c r="H117" i="10"/>
  <c r="I117" i="10" s="1"/>
  <c r="J117" i="10" s="1"/>
  <c r="H116" i="10"/>
  <c r="I116" i="10" s="1"/>
  <c r="J116" i="10" s="1"/>
  <c r="H115" i="10"/>
  <c r="I115" i="10" s="1"/>
  <c r="J115" i="10" s="1"/>
  <c r="H114" i="10"/>
  <c r="I114" i="10" s="1"/>
  <c r="J114" i="10" s="1"/>
  <c r="H113" i="10"/>
  <c r="I113" i="10" s="1"/>
  <c r="J113" i="10" s="1"/>
  <c r="H112" i="10"/>
  <c r="I112" i="10" s="1"/>
  <c r="J112" i="10" s="1"/>
  <c r="H111" i="10"/>
  <c r="I111" i="10" s="1"/>
  <c r="J111" i="10" s="1"/>
  <c r="H110" i="10"/>
  <c r="I110" i="10" s="1"/>
  <c r="J110" i="10" s="1"/>
  <c r="H109" i="10"/>
  <c r="I109" i="10" s="1"/>
  <c r="J109" i="10" s="1"/>
  <c r="H108" i="10"/>
  <c r="I108" i="10" s="1"/>
  <c r="J108" i="10" s="1"/>
  <c r="H107" i="10"/>
  <c r="I107" i="10" s="1"/>
  <c r="J107" i="10" s="1"/>
  <c r="H106" i="10"/>
  <c r="I106" i="10" s="1"/>
  <c r="J106" i="10" s="1"/>
  <c r="H104" i="10"/>
  <c r="I104" i="10" s="1"/>
  <c r="J104" i="10" s="1"/>
  <c r="H103" i="10"/>
  <c r="I103" i="10" s="1"/>
  <c r="J103" i="10" s="1"/>
  <c r="H102" i="10"/>
  <c r="I102" i="10" s="1"/>
  <c r="J102" i="10" s="1"/>
  <c r="H101" i="10"/>
  <c r="I101" i="10" s="1"/>
  <c r="J101" i="10" s="1"/>
  <c r="H100" i="10"/>
  <c r="I100" i="10" s="1"/>
  <c r="J100" i="10" s="1"/>
  <c r="H99" i="10"/>
  <c r="I99" i="10" s="1"/>
  <c r="J99" i="10" s="1"/>
  <c r="H98" i="10"/>
  <c r="I98" i="10" s="1"/>
  <c r="J98" i="10" s="1"/>
  <c r="H97" i="10"/>
  <c r="I97" i="10" s="1"/>
  <c r="J97" i="10" s="1"/>
  <c r="H96" i="10"/>
  <c r="I96" i="10" s="1"/>
  <c r="J96" i="10" s="1"/>
  <c r="H95" i="10"/>
  <c r="I95" i="10" s="1"/>
  <c r="J95" i="10" s="1"/>
  <c r="H94" i="10"/>
  <c r="I94" i="10" s="1"/>
  <c r="J94" i="10" s="1"/>
  <c r="H93" i="10"/>
  <c r="I93" i="10" s="1"/>
  <c r="J93" i="10" s="1"/>
  <c r="H92" i="10"/>
  <c r="I92" i="10" s="1"/>
  <c r="J92" i="10" s="1"/>
  <c r="H91" i="10"/>
  <c r="I91" i="10" s="1"/>
  <c r="J91" i="10" s="1"/>
  <c r="H90" i="10"/>
  <c r="I90" i="10" s="1"/>
  <c r="J90" i="10" s="1"/>
  <c r="H89" i="10"/>
  <c r="I89" i="10" s="1"/>
  <c r="J89" i="10" s="1"/>
  <c r="H88" i="10"/>
  <c r="I88" i="10" s="1"/>
  <c r="J88" i="10" s="1"/>
  <c r="H87" i="10"/>
  <c r="I87" i="10" s="1"/>
  <c r="J87" i="10" s="1"/>
  <c r="H86" i="10"/>
  <c r="I86" i="10" s="1"/>
  <c r="J86" i="10" s="1"/>
  <c r="H85" i="10"/>
  <c r="I85" i="10" s="1"/>
  <c r="J85" i="10" s="1"/>
  <c r="H84" i="10"/>
  <c r="I84" i="10" s="1"/>
  <c r="J84" i="10" s="1"/>
  <c r="H83" i="10"/>
  <c r="I83" i="10" s="1"/>
  <c r="J83" i="10" s="1"/>
  <c r="H82" i="10"/>
  <c r="I82" i="10" s="1"/>
  <c r="J82" i="10" s="1"/>
  <c r="H81" i="10"/>
  <c r="I81" i="10" s="1"/>
  <c r="J81" i="10" s="1"/>
  <c r="H80" i="10"/>
  <c r="I80" i="10" s="1"/>
  <c r="J80" i="10" s="1"/>
  <c r="H79" i="10"/>
  <c r="I79" i="10" s="1"/>
  <c r="J79" i="10" s="1"/>
  <c r="H78" i="10"/>
  <c r="I78" i="10" s="1"/>
  <c r="J78" i="10" s="1"/>
  <c r="H77" i="10"/>
  <c r="I77" i="10" s="1"/>
  <c r="J77" i="10" s="1"/>
  <c r="H76" i="10"/>
  <c r="I76" i="10" s="1"/>
  <c r="J76" i="10" s="1"/>
  <c r="H75" i="10"/>
  <c r="I75" i="10" s="1"/>
  <c r="J75" i="10" s="1"/>
  <c r="H74" i="10"/>
  <c r="I74" i="10" s="1"/>
  <c r="J74" i="10" s="1"/>
  <c r="I72" i="10"/>
  <c r="J72" i="10" s="1"/>
  <c r="I71" i="10"/>
  <c r="J71" i="10" s="1"/>
  <c r="H68" i="10"/>
  <c r="I68" i="10" s="1"/>
  <c r="J68" i="10" s="1"/>
  <c r="H67" i="10"/>
  <c r="I67" i="10" s="1"/>
  <c r="J67" i="10" s="1"/>
  <c r="H66" i="10"/>
  <c r="I66" i="10" s="1"/>
  <c r="J66" i="10" s="1"/>
  <c r="H65" i="10"/>
  <c r="I65" i="10" s="1"/>
  <c r="J65" i="10" s="1"/>
  <c r="H64" i="10"/>
  <c r="I64" i="10" s="1"/>
  <c r="J64" i="10" s="1"/>
  <c r="I62" i="10"/>
  <c r="J62" i="10" s="1"/>
  <c r="I61" i="10"/>
  <c r="J61" i="10" s="1"/>
  <c r="I60" i="10"/>
  <c r="J60" i="10" s="1"/>
  <c r="I59" i="10"/>
  <c r="J59" i="10" s="1"/>
  <c r="I58" i="10"/>
  <c r="J58" i="10" s="1"/>
  <c r="H56" i="10"/>
  <c r="I56" i="10" s="1"/>
  <c r="J56" i="10" s="1"/>
  <c r="H55" i="10"/>
  <c r="I55" i="10" s="1"/>
  <c r="J55" i="10" s="1"/>
  <c r="H54" i="10"/>
  <c r="I54" i="10" s="1"/>
  <c r="J54" i="10" s="1"/>
  <c r="H53" i="10"/>
  <c r="I53" i="10" s="1"/>
  <c r="J53" i="10" s="1"/>
  <c r="H52" i="10"/>
  <c r="I52" i="10" s="1"/>
  <c r="J52" i="10" s="1"/>
  <c r="H51" i="10"/>
  <c r="I51" i="10" s="1"/>
  <c r="J51" i="10" s="1"/>
  <c r="H50" i="10"/>
  <c r="I50" i="10" s="1"/>
  <c r="J50" i="10" s="1"/>
  <c r="H49" i="10"/>
  <c r="I49" i="10" s="1"/>
  <c r="J49" i="10" s="1"/>
  <c r="H48" i="10"/>
  <c r="I48" i="10" s="1"/>
  <c r="J48" i="10" s="1"/>
  <c r="H47" i="10"/>
  <c r="I47" i="10" s="1"/>
  <c r="J47" i="10" s="1"/>
  <c r="H46" i="10"/>
  <c r="I46" i="10" s="1"/>
  <c r="J46" i="10" s="1"/>
  <c r="H45" i="10"/>
  <c r="I45" i="10" s="1"/>
  <c r="J45" i="10" s="1"/>
  <c r="H44" i="10"/>
  <c r="I44" i="10" s="1"/>
  <c r="J44" i="10" s="1"/>
  <c r="H43" i="10"/>
  <c r="I43" i="10" s="1"/>
  <c r="J43" i="10" s="1"/>
  <c r="H42" i="10"/>
  <c r="I42" i="10" s="1"/>
  <c r="J42" i="10" s="1"/>
  <c r="H41" i="10"/>
  <c r="I41" i="10" s="1"/>
  <c r="J41" i="10" s="1"/>
  <c r="H40" i="10"/>
  <c r="I40" i="10" s="1"/>
  <c r="J40" i="10" s="1"/>
  <c r="H39" i="10"/>
  <c r="I39" i="10" s="1"/>
  <c r="J39" i="10" s="1"/>
  <c r="H38" i="10"/>
  <c r="I38" i="10" s="1"/>
  <c r="J38" i="10" s="1"/>
  <c r="H37" i="10"/>
  <c r="I37" i="10" s="1"/>
  <c r="J37" i="10" s="1"/>
  <c r="H36" i="10"/>
  <c r="I36" i="10" s="1"/>
  <c r="J36" i="10" s="1"/>
  <c r="H35" i="10"/>
  <c r="I35" i="10" s="1"/>
  <c r="J35" i="10" s="1"/>
  <c r="H34" i="10"/>
  <c r="I34" i="10" s="1"/>
  <c r="J34" i="10" s="1"/>
  <c r="H33" i="10"/>
  <c r="I33" i="10" s="1"/>
  <c r="J33" i="10" s="1"/>
  <c r="H32" i="10"/>
  <c r="I32" i="10" s="1"/>
  <c r="J32" i="10" s="1"/>
  <c r="H31" i="10"/>
  <c r="I31" i="10" s="1"/>
  <c r="J31" i="10" s="1"/>
  <c r="H30" i="10"/>
  <c r="I30" i="10" s="1"/>
  <c r="J30" i="10" s="1"/>
  <c r="H29" i="10"/>
  <c r="I29" i="10" s="1"/>
  <c r="J29" i="10" s="1"/>
  <c r="H28" i="10"/>
  <c r="I28" i="10" s="1"/>
  <c r="J28" i="10" s="1"/>
  <c r="H27" i="10"/>
  <c r="I27" i="10" s="1"/>
  <c r="J27" i="10" s="1"/>
  <c r="H25" i="10"/>
  <c r="I25" i="10" s="1"/>
  <c r="J25" i="10" s="1"/>
  <c r="H24" i="10"/>
  <c r="I24" i="10" s="1"/>
  <c r="J24" i="10" s="1"/>
  <c r="H23" i="10"/>
  <c r="I23" i="10" s="1"/>
  <c r="J23" i="10" s="1"/>
  <c r="H22" i="10"/>
  <c r="I22" i="10" s="1"/>
  <c r="J22" i="10" s="1"/>
  <c r="H21" i="10"/>
  <c r="I21" i="10" s="1"/>
  <c r="J21" i="10" s="1"/>
  <c r="H20" i="10"/>
  <c r="I20" i="10" s="1"/>
  <c r="J20" i="10" s="1"/>
  <c r="H19" i="10"/>
  <c r="I19" i="10" s="1"/>
  <c r="J19" i="10" s="1"/>
  <c r="H18" i="10"/>
  <c r="I18" i="10" s="1"/>
  <c r="J18" i="10" s="1"/>
  <c r="H17" i="10"/>
  <c r="I17" i="10" s="1"/>
  <c r="J17" i="10" s="1"/>
  <c r="H16" i="10"/>
  <c r="I16" i="10" s="1"/>
  <c r="J16" i="10" s="1"/>
  <c r="H15" i="10"/>
  <c r="I15" i="10" s="1"/>
  <c r="J15" i="10" s="1"/>
  <c r="H14" i="10"/>
  <c r="I14" i="10" s="1"/>
  <c r="J14" i="10" s="1"/>
  <c r="H13" i="10"/>
  <c r="I13" i="10" s="1"/>
  <c r="J13" i="10" s="1"/>
  <c r="H12" i="10"/>
  <c r="I12" i="10" s="1"/>
  <c r="J12" i="10" s="1"/>
  <c r="H11" i="10"/>
  <c r="I11" i="10" s="1"/>
  <c r="J11" i="10" s="1"/>
  <c r="H10" i="10"/>
  <c r="I10" i="10" s="1"/>
  <c r="J10" i="10" s="1"/>
  <c r="H9" i="10"/>
  <c r="I9" i="10" s="1"/>
  <c r="J9" i="10" s="1"/>
  <c r="H8" i="10"/>
  <c r="I8" i="10" s="1"/>
  <c r="J8" i="10" s="1"/>
  <c r="H7" i="10"/>
  <c r="I7" i="10" s="1"/>
  <c r="J7" i="10" s="1"/>
  <c r="H6" i="10"/>
  <c r="I6" i="10" s="1"/>
  <c r="J6" i="10" s="1"/>
  <c r="H5" i="10"/>
  <c r="I5" i="10" s="1"/>
  <c r="J5" i="10" s="1"/>
  <c r="H4" i="10"/>
  <c r="I4" i="10" s="1"/>
  <c r="J4" i="10" s="1"/>
  <c r="H3" i="10"/>
  <c r="F3" i="10"/>
  <c r="I2" i="10"/>
  <c r="J2" i="10" s="1"/>
  <c r="D134" i="3"/>
  <c r="H359" i="7" l="1"/>
  <c r="E358" i="7"/>
  <c r="H336" i="7"/>
  <c r="H110" i="7"/>
  <c r="H3" i="7"/>
  <c r="I3" i="10"/>
  <c r="J3" i="10" s="1"/>
  <c r="J26" i="10" s="1"/>
  <c r="I323" i="10"/>
  <c r="J323" i="10" s="1"/>
  <c r="I612" i="10"/>
  <c r="J612" i="10" s="1"/>
  <c r="J57" i="10"/>
  <c r="I382" i="10"/>
  <c r="J382" i="10" s="1"/>
  <c r="J73" i="10"/>
  <c r="J535" i="10"/>
  <c r="J545" i="10"/>
  <c r="J171" i="10"/>
  <c r="J105" i="10"/>
  <c r="J194" i="10"/>
  <c r="I325" i="10"/>
  <c r="J325" i="10" s="1"/>
  <c r="J213" i="10"/>
  <c r="J489" i="10" s="1"/>
  <c r="J515" i="10"/>
  <c r="J580" i="10"/>
  <c r="J539" i="10"/>
  <c r="I622" i="10"/>
  <c r="J622" i="10" s="1"/>
  <c r="I626" i="10"/>
  <c r="J626" i="10" s="1"/>
  <c r="J627" i="10" s="1"/>
  <c r="F68" i="2"/>
  <c r="J625" i="10" l="1"/>
  <c r="D470" i="3"/>
  <c r="G70" i="2" l="1"/>
  <c r="D113" i="3"/>
  <c r="A31" i="8"/>
  <c r="A30" i="8"/>
  <c r="A24" i="9"/>
  <c r="H365" i="7"/>
  <c r="B24" i="9" s="1"/>
  <c r="C24" i="9" s="1"/>
  <c r="E364" i="7"/>
  <c r="E283" i="7"/>
  <c r="B30" i="8"/>
  <c r="G71" i="2" l="1"/>
  <c r="B21" i="8" s="1"/>
  <c r="H209" i="7" l="1"/>
  <c r="B11" i="9" s="1"/>
  <c r="C11" i="9" s="1"/>
  <c r="E208" i="7"/>
  <c r="E180" i="7"/>
  <c r="E181" i="7"/>
  <c r="E182" i="7"/>
  <c r="E183" i="7"/>
  <c r="E174" i="7"/>
  <c r="E175" i="7"/>
  <c r="E173" i="7"/>
  <c r="E179" i="7"/>
  <c r="E178" i="7"/>
  <c r="E177" i="7"/>
  <c r="E176" i="7"/>
  <c r="E187" i="7"/>
  <c r="E185" i="7"/>
  <c r="A26" i="9"/>
  <c r="A25" i="9"/>
  <c r="A23" i="9"/>
  <c r="A22" i="9"/>
  <c r="A21" i="9"/>
  <c r="A20" i="9"/>
  <c r="A19" i="9"/>
  <c r="A18" i="9"/>
  <c r="A17" i="9"/>
  <c r="A16" i="9"/>
  <c r="A15" i="9"/>
  <c r="A14" i="9"/>
  <c r="A13" i="9"/>
  <c r="A12" i="9"/>
  <c r="A11" i="9"/>
  <c r="A10" i="9"/>
  <c r="A9" i="9"/>
  <c r="A8" i="9"/>
  <c r="A7" i="9"/>
  <c r="A6" i="9"/>
  <c r="A5" i="9"/>
  <c r="A4" i="9"/>
  <c r="A3" i="9"/>
  <c r="A2" i="9"/>
  <c r="B388" i="7"/>
  <c r="B387" i="7"/>
  <c r="B386" i="7"/>
  <c r="H380" i="7"/>
  <c r="E379" i="7"/>
  <c r="H378" i="7"/>
  <c r="C386" i="7" s="1"/>
  <c r="H376" i="7"/>
  <c r="C387" i="7" s="1"/>
  <c r="E372" i="7"/>
  <c r="E371" i="7"/>
  <c r="E368" i="7"/>
  <c r="H367" i="7"/>
  <c r="B25" i="9" s="1"/>
  <c r="C25" i="9" s="1"/>
  <c r="E366" i="7"/>
  <c r="H363" i="7"/>
  <c r="B23" i="9" s="1"/>
  <c r="C23" i="9" s="1"/>
  <c r="E362" i="7"/>
  <c r="H361" i="7"/>
  <c r="B22" i="9" s="1"/>
  <c r="C22" i="9" s="1"/>
  <c r="H357" i="7"/>
  <c r="B21" i="9" s="1"/>
  <c r="C21" i="9" s="1"/>
  <c r="E356" i="7"/>
  <c r="H355" i="7"/>
  <c r="B20" i="9" s="1"/>
  <c r="C20" i="9" s="1"/>
  <c r="E354" i="7"/>
  <c r="H353" i="7"/>
  <c r="B19" i="9" s="1"/>
  <c r="C19" i="9" s="1"/>
  <c r="E352" i="7"/>
  <c r="H351" i="7"/>
  <c r="B18" i="9" s="1"/>
  <c r="C18" i="9" s="1"/>
  <c r="E350" i="7"/>
  <c r="H349" i="7"/>
  <c r="B17" i="9" s="1"/>
  <c r="C17" i="9" s="1"/>
  <c r="E348" i="7"/>
  <c r="B16" i="9"/>
  <c r="C16" i="9" s="1"/>
  <c r="H309" i="7"/>
  <c r="B14" i="9" s="1"/>
  <c r="C14" i="9" s="1"/>
  <c r="E308" i="7"/>
  <c r="E307" i="7"/>
  <c r="E306" i="7"/>
  <c r="E305" i="7"/>
  <c r="E304" i="7"/>
  <c r="E303" i="7"/>
  <c r="E302" i="7"/>
  <c r="E301" i="7"/>
  <c r="E300" i="7"/>
  <c r="E299" i="7"/>
  <c r="E298" i="7"/>
  <c r="E297" i="7"/>
  <c r="E296" i="7"/>
  <c r="E295" i="7"/>
  <c r="E294" i="7"/>
  <c r="E293" i="7"/>
  <c r="E292" i="7"/>
  <c r="E291" i="7"/>
  <c r="E290" i="7"/>
  <c r="E288" i="7"/>
  <c r="E287" i="7"/>
  <c r="E285" i="7"/>
  <c r="E282" i="7"/>
  <c r="E281" i="7"/>
  <c r="E280" i="7"/>
  <c r="E279" i="7"/>
  <c r="E278" i="7"/>
  <c r="E277" i="7"/>
  <c r="E276" i="7"/>
  <c r="E274" i="7"/>
  <c r="E273" i="7"/>
  <c r="E260" i="7"/>
  <c r="E259" i="7"/>
  <c r="E258" i="7"/>
  <c r="E257" i="7"/>
  <c r="E256" i="7"/>
  <c r="E255" i="7"/>
  <c r="E254" i="7"/>
  <c r="E253" i="7"/>
  <c r="E252" i="7"/>
  <c r="E251" i="7"/>
  <c r="E250" i="7"/>
  <c r="E249" i="7"/>
  <c r="E248" i="7"/>
  <c r="E247" i="7"/>
  <c r="E246" i="7"/>
  <c r="E245" i="7"/>
  <c r="E244" i="7"/>
  <c r="E243" i="7"/>
  <c r="E242" i="7"/>
  <c r="E241" i="7"/>
  <c r="E240" i="7"/>
  <c r="E239" i="7"/>
  <c r="E238" i="7"/>
  <c r="E237" i="7"/>
  <c r="E236" i="7"/>
  <c r="E235" i="7"/>
  <c r="E234" i="7"/>
  <c r="E233" i="7"/>
  <c r="E232" i="7"/>
  <c r="E231" i="7"/>
  <c r="E230" i="7"/>
  <c r="E229" i="7"/>
  <c r="E228" i="7"/>
  <c r="E227" i="7"/>
  <c r="E226" i="7"/>
  <c r="E225" i="7"/>
  <c r="E224" i="7"/>
  <c r="E223" i="7"/>
  <c r="E222" i="7"/>
  <c r="E221" i="7"/>
  <c r="E220" i="7"/>
  <c r="E219" i="7"/>
  <c r="E217" i="7"/>
  <c r="E216" i="7"/>
  <c r="E215" i="7"/>
  <c r="E214" i="7"/>
  <c r="E213" i="7"/>
  <c r="E212" i="7"/>
  <c r="E210" i="7"/>
  <c r="E205" i="7"/>
  <c r="E201" i="7"/>
  <c r="E200" i="7"/>
  <c r="E199" i="7"/>
  <c r="E198" i="7"/>
  <c r="E197" i="7"/>
  <c r="E196" i="7"/>
  <c r="E195" i="7"/>
  <c r="E194" i="7"/>
  <c r="E193" i="7"/>
  <c r="E192" i="7"/>
  <c r="E191" i="7"/>
  <c r="E190" i="7"/>
  <c r="B8" i="9"/>
  <c r="C8" i="9" s="1"/>
  <c r="E109" i="7"/>
  <c r="E108" i="7"/>
  <c r="E107" i="7"/>
  <c r="E106" i="7"/>
  <c r="B7" i="9"/>
  <c r="C7" i="9" s="1"/>
  <c r="H75" i="7"/>
  <c r="B6" i="9" s="1"/>
  <c r="C6" i="9" s="1"/>
  <c r="H72" i="7"/>
  <c r="B5" i="9" s="1"/>
  <c r="C5" i="9" s="1"/>
  <c r="H57" i="7"/>
  <c r="H26" i="7"/>
  <c r="A27" i="8"/>
  <c r="A29" i="8"/>
  <c r="A26" i="8"/>
  <c r="A24" i="8"/>
  <c r="A23" i="8"/>
  <c r="A21" i="8"/>
  <c r="A20" i="8"/>
  <c r="A19" i="8"/>
  <c r="A17" i="8"/>
  <c r="A18" i="8"/>
  <c r="A16" i="8"/>
  <c r="A15" i="8"/>
  <c r="A14" i="8"/>
  <c r="A13" i="8"/>
  <c r="A12" i="8"/>
  <c r="A11" i="8"/>
  <c r="A10" i="8"/>
  <c r="A8" i="8"/>
  <c r="A7" i="8"/>
  <c r="A6" i="8"/>
  <c r="A5" i="8"/>
  <c r="A4" i="8"/>
  <c r="A3" i="8"/>
  <c r="A2" i="8"/>
  <c r="B3" i="9" l="1"/>
  <c r="C3" i="9" s="1"/>
  <c r="B2" i="9"/>
  <c r="C2" i="9" s="1"/>
  <c r="B9" i="9"/>
  <c r="C9" i="9" s="1"/>
  <c r="H211" i="7"/>
  <c r="B29" i="8"/>
  <c r="E370" i="7"/>
  <c r="E218" i="7"/>
  <c r="E369" i="7"/>
  <c r="G74" i="2"/>
  <c r="H275" i="7" l="1"/>
  <c r="B13" i="9" s="1"/>
  <c r="C13" i="9" s="1"/>
  <c r="H373" i="7"/>
  <c r="F64" i="2"/>
  <c r="G77" i="2"/>
  <c r="B26" i="9" l="1"/>
  <c r="C26" i="9" s="1"/>
  <c r="B11" i="8"/>
  <c r="B4" i="8"/>
  <c r="D455" i="3" l="1"/>
  <c r="B23" i="8" s="1"/>
  <c r="F27" i="2"/>
  <c r="B24" i="8" l="1"/>
  <c r="B19" i="8" l="1"/>
  <c r="F14" i="2" l="1"/>
  <c r="G12" i="2"/>
  <c r="G13" i="2" l="1"/>
  <c r="B3" i="8" s="1"/>
  <c r="G78" i="2"/>
  <c r="G73" i="2" l="1"/>
  <c r="G75" i="2" s="1"/>
  <c r="G81" i="2" s="1"/>
  <c r="B31" i="8" l="1"/>
  <c r="F63" i="2"/>
  <c r="F43" i="2"/>
  <c r="B27" i="8" l="1"/>
  <c r="B26" i="8"/>
  <c r="D464" i="3"/>
  <c r="B25" i="8" s="1"/>
  <c r="D453" i="3"/>
  <c r="B22" i="8" s="1"/>
  <c r="B20" i="8"/>
  <c r="B18" i="8"/>
  <c r="B17" i="8"/>
  <c r="G66" i="2"/>
  <c r="G25" i="2"/>
  <c r="B6" i="8"/>
  <c r="B5" i="8"/>
  <c r="B8" i="8" l="1"/>
  <c r="B2" i="8"/>
  <c r="G61" i="2"/>
  <c r="G59" i="2" s="1"/>
  <c r="G60" i="2" s="1"/>
  <c r="G28" i="2"/>
  <c r="G62" i="2" l="1"/>
  <c r="B15" i="8" s="1"/>
  <c r="G67" i="2"/>
  <c r="B16" i="8" s="1"/>
  <c r="G29" i="2"/>
  <c r="B12" i="8" l="1"/>
  <c r="G16" i="2"/>
  <c r="G57" i="2" l="1"/>
  <c r="G58" i="2" l="1"/>
  <c r="B14" i="8" s="1"/>
  <c r="G17" i="2"/>
  <c r="B9" i="8" s="1"/>
  <c r="G26" i="2"/>
  <c r="B10" i="8" s="1"/>
  <c r="B7" i="8" l="1"/>
  <c r="B12" i="9"/>
  <c r="C12" i="9" l="1"/>
  <c r="G41" i="2" l="1"/>
  <c r="D479" i="3"/>
  <c r="I69" i="10" l="1"/>
  <c r="J69" i="10" s="1"/>
  <c r="J70" i="10" s="1"/>
  <c r="J628" i="10" s="1"/>
  <c r="H69" i="7"/>
  <c r="B4" i="9" l="1"/>
  <c r="C4" i="9" s="1"/>
  <c r="E189" i="7"/>
  <c r="H207" i="7"/>
  <c r="B10" i="9" l="1"/>
  <c r="C10" i="9" l="1"/>
  <c r="H383" i="7"/>
  <c r="B15" i="9" l="1"/>
  <c r="B27" i="9" s="1"/>
  <c r="C15" i="9" l="1"/>
  <c r="C27" i="9" s="1"/>
  <c r="G80" i="2"/>
  <c r="G42" i="2" l="1"/>
  <c r="B13" i="8" s="1"/>
  <c r="B28" i="8" s="1"/>
</calcChain>
</file>

<file path=xl/sharedStrings.xml><?xml version="1.0" encoding="utf-8"?>
<sst xmlns="http://schemas.openxmlformats.org/spreadsheetml/2006/main" count="7960" uniqueCount="1672">
  <si>
    <t>Anul</t>
  </si>
  <si>
    <t>Nr. crt.</t>
  </si>
  <si>
    <t>Procedura stabilita/ instrumente specifice pentru derularea procesului de achizitie</t>
  </si>
  <si>
    <t>Rezultatul procedurii</t>
  </si>
  <si>
    <t>Modalitatea de derulare a procedurii de atribuire</t>
  </si>
  <si>
    <t>Min</t>
  </si>
  <si>
    <t>Max</t>
  </si>
  <si>
    <t>Contract</t>
  </si>
  <si>
    <t>Online</t>
  </si>
  <si>
    <t>Acord-cadru</t>
  </si>
  <si>
    <t>Offline</t>
  </si>
  <si>
    <t>Dialog competitiv</t>
  </si>
  <si>
    <t>Parteneriat pentru inovare</t>
  </si>
  <si>
    <t>Nr. Crt</t>
  </si>
  <si>
    <t>Programul anual al achizițiilor publice</t>
  </si>
  <si>
    <t xml:space="preserve">Persoana care realizează revizuirea </t>
  </si>
  <si>
    <t>Obiectul acordului cadru/contractului de achiziție publică</t>
  </si>
  <si>
    <t>Cod CPV și descrierea codului CPV</t>
  </si>
  <si>
    <t>Procedura stabilită/ instrumente specifice pentru derularea procesului de achiziție</t>
  </si>
  <si>
    <t>Valoare estimată
(RON fără TVA)</t>
  </si>
  <si>
    <t>Sursa de finanțare</t>
  </si>
  <si>
    <t>Data (luna) estimată pentru inițierea procedurii</t>
  </si>
  <si>
    <t>Data (luna) estimată pentru atribuirea contractului de achiziție publică/semnarea acordului-cadru</t>
  </si>
  <si>
    <t>Persoana responsabilă cu aplicarea procedurii de atribuire</t>
  </si>
  <si>
    <t>Data introducerii procedurii în Programul anual al achizițiilor publice</t>
  </si>
  <si>
    <t>Licitație deschisă</t>
  </si>
  <si>
    <t>Licitație restrânsă</t>
  </si>
  <si>
    <t>Negociere competitivă</t>
  </si>
  <si>
    <t>Procedură simplificată</t>
  </si>
  <si>
    <t>Negociere fără publicare prealabilă</t>
  </si>
  <si>
    <t>Procedura de atribuire aplicabilă în cazul serviciilor sociale și al altor servicii specifice</t>
  </si>
  <si>
    <t>Obiectul achiziție directe</t>
  </si>
  <si>
    <t>Data (luna) estimată pentru inițierea achiziției</t>
  </si>
  <si>
    <t>Data (luna) estimată pentru finalizarea  achiziției</t>
  </si>
  <si>
    <t>Persoana responsabilă cu derularea achiziției</t>
  </si>
  <si>
    <t>Data înregistrării nevoii</t>
  </si>
  <si>
    <t>În foaia de lucru Programul Anual al Achizițiilor Publice (PAAP) pentru anul în cauză se vor selecta sau completa informațiile conform instrucțiunilor. Coloanele P, Q și R care conțin informații despre tipul, rezultatul și modalitatea de derulare a unei proceduri nu se vor modifica. Aceste coloane au fost introduse pentru a oferi posibilitatea selectării din listă a respectivelor informații.]</t>
  </si>
  <si>
    <t>Ca urmare a planificării portofoliului de achiziții, Autoritatea Contractantă are obligația de a elabora Programul anual al achizițiilor publice, ca instrument managerial utilizat pentru planificarea și monitorizarea portofoliului de procese de achiziție la nivel de autoritate contractantă, pentru planificarea resurselor necesare derulării acestor procese și pentru verificarea modului de îndeplinire a obiectivelor politicii de achiziții.</t>
  </si>
  <si>
    <t>[Mai jos este prezentată o listă a informațiilor conținute în paginile acestui document; prin selectarea unei opțiuni sunteți direcționat automat către pagina corespunzătoare din cadrul acestui document.</t>
  </si>
  <si>
    <t>[introduceți nr. versiunii]</t>
  </si>
  <si>
    <t>[Introduceți numele si funcția persoanei]</t>
  </si>
  <si>
    <t>Inițială</t>
  </si>
  <si>
    <t>Revizuită</t>
  </si>
  <si>
    <t>Numărul revizuirii</t>
  </si>
  <si>
    <t>Data realizării revizuirii</t>
  </si>
  <si>
    <t>Motivul revizuirii</t>
  </si>
  <si>
    <t>[Precizați, după caz: modificare, adăugare, eliminare, completare, ș.a.]</t>
  </si>
  <si>
    <t>[Introduceți]</t>
  </si>
  <si>
    <t>Nr. revizuirii</t>
  </si>
  <si>
    <t>Tipul revizuirii</t>
  </si>
  <si>
    <t>[introduceți zz-ll-aaaa]</t>
  </si>
  <si>
    <t>Capitolul/secțiune revizuită</t>
  </si>
  <si>
    <t>Persoana care aprobă revizuirea</t>
  </si>
  <si>
    <t>Semnătura persoanei care aprobă revizuirea</t>
  </si>
  <si>
    <t>Data aprobării revizuirii</t>
  </si>
  <si>
    <r>
      <t>Forma documentului:</t>
    </r>
    <r>
      <rPr>
        <b/>
        <i/>
        <sz val="11"/>
        <color theme="1"/>
        <rFont val="Calibri"/>
        <family val="2"/>
        <charset val="238"/>
        <scheme val="minor"/>
      </rPr>
      <t xml:space="preserve"> </t>
    </r>
    <r>
      <rPr>
        <i/>
        <sz val="11"/>
        <color theme="1"/>
        <rFont val="Calibri"/>
        <family val="2"/>
        <charset val="238"/>
        <scheme val="minor"/>
      </rPr>
      <t>[Marcați cu X, după caz, și adăugați numărul revizuirii, acolo unde este cazul]</t>
    </r>
  </si>
  <si>
    <t>Autoritatea Contractanta: INSTITUTUL NATIONAL DE NEUROLOGIE SI BOLI NEUROVASCULARE</t>
  </si>
  <si>
    <t>Prestari servicii de analize de laborator</t>
  </si>
  <si>
    <t>FASS</t>
  </si>
  <si>
    <t>IANUARIE</t>
  </si>
  <si>
    <t>IANUARIE-DECEMBRIE</t>
  </si>
  <si>
    <t>IANUARIE - DECEMBRIE</t>
  </si>
  <si>
    <t>CINCIU IRINA</t>
  </si>
  <si>
    <t>Articole de papetarie, inclusiv formulare</t>
  </si>
  <si>
    <t>DECEMBRIE</t>
  </si>
  <si>
    <t>CF REFERATELOR DE NECESITATE</t>
  </si>
  <si>
    <t>Produse de curatat si de lustruit, produse igienico sanitare</t>
  </si>
  <si>
    <t>30192000-1 - Accesorii de birou (Rev.2); 
 30199000-0 - Articole de papetarie si alte articole din hartie (Rev.2);  30199700-7 - Articole imprimate de papetarie, cu exceptia formularelor (Rev.2); 22800000-8 - Registre, registre contabile, clasoare, formulare si alte articole imprimate de papetarie din hartie sau din carton (Rev.2); 30192700-8 - Papetarie (Rev.2)</t>
  </si>
  <si>
    <t>Servicii de energie electrica si energie termica, servicii conexe</t>
  </si>
  <si>
    <t>65300000-6 - Distributie de energie electrica si servicii conexe (Rev.2); 31680000-6 - Articole si accesorii electrice (Rev.2); 31500000-1 - Aparatura de iluminat si lampi electrice (Rev.2); 31211310-4 - Sigurante fuzibile (Rev.2);  31224000-2 - Conexiuni si elemente de contact (Rev.2); 09323000-9 - Incalzire urbana (Rev.2);  71356200-0 - Servicii de asistenta tehnica (Rev.2)</t>
  </si>
  <si>
    <t>HUMENIUC VASILE</t>
  </si>
  <si>
    <t>Servicii de distributie apa si servicii conexe</t>
  </si>
  <si>
    <t xml:space="preserve">65100000-4 - Distributie de apa si servicii conexe (Rev.2); 90511200-4 - Servicii de colectare a gunoiului menajer (Rev.2); 41110000-3 - Apa potabila (Rev.2); 44161200-8 - Canalizari de apa (Rev.2); 90921000-9 - </t>
  </si>
  <si>
    <t>Carburanti si lubrifianti</t>
  </si>
  <si>
    <t>09100000-0 - Combustibili (Rev.2)</t>
  </si>
  <si>
    <t>50421000-2 - Servicii de reparare si de intretinere a echipamentului medical (Rev.2)</t>
  </si>
  <si>
    <t>Servicii de telecomunicatii</t>
  </si>
  <si>
    <t>Servicii de telefonie fixa</t>
  </si>
  <si>
    <t>Servicii de livrare posta, curierat</t>
  </si>
  <si>
    <t>Servicii furnizare internet</t>
  </si>
  <si>
    <t>64200000-8 - Servicii de telecomunicatii (Rev.2)</t>
  </si>
  <si>
    <t>64211000-8 - Servicii de telefonie publica (Rev.2)</t>
  </si>
  <si>
    <t>64100000-7 - Servicii postale si de curierat (Rev.2)</t>
  </si>
  <si>
    <t>72400000-4 - Servicii de internet (Rev.2)</t>
  </si>
  <si>
    <t>Servicii de asigurare auto</t>
  </si>
  <si>
    <t>Analize imunohematologie</t>
  </si>
  <si>
    <t>Prestari servicii infectii nosocomiale</t>
  </si>
  <si>
    <t>Tipizate medicale</t>
  </si>
  <si>
    <t>Servicii de laborator analize medicale de autocontrol si preventie a infectiilor nosocomiale</t>
  </si>
  <si>
    <t>Servicii reparatii si intretinere echipament radiologic</t>
  </si>
  <si>
    <t xml:space="preserve">Servicii de transport pacienti </t>
  </si>
  <si>
    <t>66514110-0 - Servicii de asigurare a autovehiculelor (Rev.2)</t>
  </si>
  <si>
    <t>85111810-1 - Servicii de analize de sange (Rev.2)</t>
  </si>
  <si>
    <t>85141200-1 - Servicii prestate de personalul de asistenta medicala (Rev.2)</t>
  </si>
  <si>
    <t>85145000-7 - Servicii prestate de laboratoare medicale (Rev.2)</t>
  </si>
  <si>
    <t>50421200-4 - Servicii de reparare si de intretinere a echipamentului radiologic (Rev.2)</t>
  </si>
  <si>
    <t>50800000-3 - Diverse servicii de intretinere si de reparare (Rev.2)</t>
  </si>
  <si>
    <t>85143000-3 - Servicii de ambulanta (Rev.2)</t>
  </si>
  <si>
    <t>Servicii consultanta protectia riscurilor radiologice</t>
  </si>
  <si>
    <t>Servicii arhivare</t>
  </si>
  <si>
    <t>Servicii legislative</t>
  </si>
  <si>
    <t>Servicii incarcare tonere</t>
  </si>
  <si>
    <t>Prestari servicii apa</t>
  </si>
  <si>
    <t>Servicii intretinere ascensoare</t>
  </si>
  <si>
    <t>Servicii colectare,transport,eliminare deseuri medicale</t>
  </si>
  <si>
    <t>Servicii mentenanta PC, imprimante</t>
  </si>
  <si>
    <t xml:space="preserve">Servicii de gazduire pentru operarea de site-uri WWW </t>
  </si>
  <si>
    <t>71317000-3 - Servicii de consultanta in protectia contra riscurilor si in controlul riscurilor (Rev.2)</t>
  </si>
  <si>
    <t>79995100-6 - Servicii de arhivare (Rev.2)</t>
  </si>
  <si>
    <t>75111200-9 - Servicii legislative (Rev.2)</t>
  </si>
  <si>
    <t>79132100-9 - Servicii de certificare a semnaturii electronice (Rev.2)</t>
  </si>
  <si>
    <t>30120000-6 - Echipament de fotocopiere si de tiparire offset (Rev.2)</t>
  </si>
  <si>
    <t>65110000-7 - Distributie de apa (Rev.2)</t>
  </si>
  <si>
    <t>50610000-4 - Servicii de reparare si de intretinere a echipamentului de securitate (Rev.2); 50343000-1 - Servicii de reparare si de intretinere a echipamentului video (Rev.2); 50334110-9 - Servicii de intretinere a retelei telefonice (Rev.2)</t>
  </si>
  <si>
    <t>50750000-7 - Servicii de intretinere a ascensoarelor (Rev.2)</t>
  </si>
  <si>
    <t>90524400-0 - Servicii de colectare, de transport si de eliminare a deseurilor spitalicesti (Rev.2)</t>
  </si>
  <si>
    <t>50311400-2 - Repararea si intretinerea calculatoarelor si a masinilor contabile (Rev.2)</t>
  </si>
  <si>
    <t>72415000-2 - Servicii de gazduire pentru operarea de site-uri WWW (World Wide Web) (Rev.2)</t>
  </si>
  <si>
    <t>98390000-3 Alte servicii (Rev.2)</t>
  </si>
  <si>
    <t>Materiale electrosanitare de intretinere</t>
  </si>
  <si>
    <t>31500000-1 - Aparatura de iluminat si lampi electrice (Rev.2); 31680000-6 - Articole si accesorii electrice (Rev.2); 44411100-5 - Robinete (Rev.2); 44167100-9 - Racorduri (Rev.2); 39144000-3 - Mobilier de baie (Rev.2); 44800000-8 - Vopsele, lacuri si masticuri (Rev.2); 42131400-0 - Robinete sau vane pentru instalatii sanitare (Rev.2)</t>
  </si>
  <si>
    <t xml:space="preserve">45261310-0 - Lucrari de hidroizolare (Rev.2); 45453000-7 - Lucrari de reparatii generale si de renovare (Rev.2); 45430000-0 - Lucrari de imbracare a podelelor si a peretilor (Rev.2); 45420000-7 - Lucrari de tamplarie si de dulgherie (Rev.2); 45421152-4 - Instalare de pereti despartitori (Rev.2) </t>
  </si>
  <si>
    <t>18143000-3 - Echipamente de protectie (Rev.2)</t>
  </si>
  <si>
    <t>33140000-3 - Consumabile medicale (Rev.2)</t>
  </si>
  <si>
    <t>19640000-4 - Saci si pungi din polietilena pentru deseuri (Rev.2); 33711900-6 - Sapun (Rev.2);  39525800-6 - Carpe pentru curatat (Rev.2);  39220000-0 - Echipament de bucatarie, articole de menaj si de uz casnic si articole de catering (Rev.2); 
 39800000-0 - Produse de curatat si de lustruit (Rev.2); 
 44511120-2 - Lopeti (Rev.2);44617000-8 - Cutii (Rev.2); 33141123-8 - Recipiente pentru ace (Rev.2); 18424000-7 - Manusi (Rev.2);  33761000-2 - Hartie igienica (Rev.2); 
 39831200-8 - Detergenti (Rev.2); 
 39224320-7 - Bureti (Rev.2);</t>
  </si>
  <si>
    <t>Reactivi pentru determinarea grupelor sanguine</t>
  </si>
  <si>
    <t xml:space="preserve">33696100-6  - Reactivi pentru determinarea grupelor sanguine (Rev.2) </t>
  </si>
  <si>
    <t>33696500-0 - Reactivi de laborator (Rev.2)</t>
  </si>
  <si>
    <t>CAVAL GABRIELA</t>
  </si>
  <si>
    <t>Alte produse antiseptice si dezinfectante</t>
  </si>
  <si>
    <t>Uniforme si echipament</t>
  </si>
  <si>
    <t xml:space="preserve">33199000-1 - Imbracaminte pentru personalul medical (Rev.2);18143000-3  - Echipamente de protectie (Rev.2); 18318200-3  - Capoate (Rev.2); 18318500-6  - Camasi de noapte pentru femei (Rev.2) </t>
  </si>
  <si>
    <t>Lenjerie si accesorii de pat</t>
  </si>
  <si>
    <t>39512500-9 - Fete de perna (Rev.2);   39518000-6 - Lenjerie de spital (Rev.2); 39518200-8  - Cearsafuri pentru sali de operatie (Rev.2);18318300-4  - Pijamale (Rev.2); 39516120-9  - Perne (Rev.2); 39512300-7  - Huse pentru saltele (Rev.2); 39143112-4  - Saltele (Rev.2)</t>
  </si>
  <si>
    <t>Diverse obiecte de inventar</t>
  </si>
  <si>
    <t>44423000-1 Diverse articole (Rev.2)</t>
  </si>
  <si>
    <t>Deplasari interne</t>
  </si>
  <si>
    <t>Carti, publicatii si materiale documentare</t>
  </si>
  <si>
    <t>Servicii de medicina muncii</t>
  </si>
  <si>
    <t>85147000-1 - Servicii de medicina muncii (Rev.2)</t>
  </si>
  <si>
    <t>Servicii externe pentru situatii de urgenta</t>
  </si>
  <si>
    <t>Servicii in domeniul securitatii si sanatatii in munca</t>
  </si>
  <si>
    <t>Lapte praf</t>
  </si>
  <si>
    <t>15511700-0 - Lapte praf (Rev.2)</t>
  </si>
  <si>
    <t>Servicii de protectie impotriva radiatiilor</t>
  </si>
  <si>
    <t>90721600-3 - Servicii de protectie impotriva radiatiilor (Rev.2)</t>
  </si>
  <si>
    <t>Prime de asigurare non-viata</t>
  </si>
  <si>
    <t>Chirii</t>
  </si>
  <si>
    <t>Alte cheltuieli cu bunuri si servicii</t>
  </si>
  <si>
    <t>Furnizare Gaze medicale</t>
  </si>
  <si>
    <t>24111500-0 - Gaze medicale (Rev.2)</t>
  </si>
  <si>
    <t>Antiseptice si dezinfectante</t>
  </si>
  <si>
    <t xml:space="preserve">33631600-8 - Antiseptice si dezinfectante (Rev.2) </t>
  </si>
  <si>
    <t xml:space="preserve">33690000-3 - Diverse medicamente (Rev.2) </t>
  </si>
  <si>
    <t>72600000-6 - Servicii de asistenta si de consultanta informatica (Rev. 2)</t>
  </si>
  <si>
    <t>Prestari servicii de paza, patrulare, monitorizare si supraveghere</t>
  </si>
  <si>
    <t>79713000-5 Servicii de paza (Rev. 2)</t>
  </si>
  <si>
    <t>Prestari servicii de spalatorie si curatatorie uscata</t>
  </si>
  <si>
    <t>98310000-9 - Servicii de spalatorie si curataorie uscata (Rev. 2)</t>
  </si>
  <si>
    <t>20.01.09 Materiale si prestari de servicii cu caracter functional cu TVA</t>
  </si>
  <si>
    <t xml:space="preserve">TOTAL 20.01.09 Materiale si prestari de servicii cu caracter functional </t>
  </si>
  <si>
    <t>20.01.30 Alte bunuri si servicii pentru intretinere si functionare cu TVA</t>
  </si>
  <si>
    <t>TOTAL 20.01.30 Alte bunuri si servicii pentru intretinere si functionare</t>
  </si>
  <si>
    <t xml:space="preserve">Prestari servicii de catering </t>
  </si>
  <si>
    <t>55523000-2 - Servicii de catering pentru alte societati sau institutii (Rev. 2)</t>
  </si>
  <si>
    <t>IANUARIE-SEPTEMBRIE</t>
  </si>
  <si>
    <t>20.03.01 Hrana pentru oameni</t>
  </si>
  <si>
    <t>TOTAL 20.03.01 Hrana pentru oameni</t>
  </si>
  <si>
    <t>20.04.01 Medicamente cu TVA</t>
  </si>
  <si>
    <t>TOTAL 20.04.01 Medicamente</t>
  </si>
  <si>
    <t>20.01.09 Materiale si prestari de servicii cu caracter functional cu TVA achizitii directe</t>
  </si>
  <si>
    <t>20.04.02 Materiale sanitare cu TVA</t>
  </si>
  <si>
    <t>TOTAL 20.04.02 Materiale sanitare</t>
  </si>
  <si>
    <t>20.04.03 Reactivi cu TVA</t>
  </si>
  <si>
    <t>TOTAL 20.04.03 Reactivi</t>
  </si>
  <si>
    <t>33696000-5 - Reactivi si produse de contrast (Rev.2)</t>
  </si>
  <si>
    <t>20.04.04 Dezinfectanti cu TVA</t>
  </si>
  <si>
    <t>TOTAL 20.04.04 Dezinfectanti</t>
  </si>
  <si>
    <t>20.04.04 Dezinfectanti achizitii directe cu TVA</t>
  </si>
  <si>
    <t>20.04.03 Reactivi achizitii directe cu TVA</t>
  </si>
  <si>
    <t>20.04.02 Materiale sanitare achizitii directe cu TVA</t>
  </si>
  <si>
    <t>20.04.01 Medicamente achizitii directe cu TVA</t>
  </si>
  <si>
    <t>20.01.30 Alte bunuri si servicii pentru intretinere si functionare achizitii directe cu TVA</t>
  </si>
  <si>
    <t>TOTAL ART. 20.01.01 FURNITURI DE BIROU CU TVA</t>
  </si>
  <si>
    <t>TOTAL ART. 20.01.02 MATERIALE DE CURATENIE CU TVA</t>
  </si>
  <si>
    <t>TOTAL ART. 20.01.03 ILUMINAT, INCALZIT SI FORTA MOTRICA CU TVA</t>
  </si>
  <si>
    <t>TOTAL ART. 20.01.04 APA, CANAL SI SALUBRITATE CU TVA</t>
  </si>
  <si>
    <t>TOTAL ART. 20.01.05 CARBURANTI SI LUBRIFIANTI CU TVA</t>
  </si>
  <si>
    <t>TOTAL ART. 20.01.06 PIESE DE SCHIMB CU TVA</t>
  </si>
  <si>
    <t>TOTAL ART. 20.01.08 POSTA, TELECOMUNICATII, RADIO, TV SI INTERNET CU TVA</t>
  </si>
  <si>
    <t>TOTAL ART. 20.01.09 MATERIALE SI PRESTARI SERVICII CU CARACTER FUNCTIONAL CU TVA</t>
  </si>
  <si>
    <t>TOTAL ART. 20.01.30 ALTE BUNURI SI SERVICII PENTRU INTRETINERE SI FUNCTIONARE CU TVA</t>
  </si>
  <si>
    <t>TOTAL ART. 20.02 REPARATII CURENTE CU TVA</t>
  </si>
  <si>
    <t>TOTAL ART. 20.04.01 MEDICAMENTE CU TVA</t>
  </si>
  <si>
    <t>TOTAL ART. 20.04.02 MATERIALE SANITARE CU TVA</t>
  </si>
  <si>
    <t>TOTAL ART. 20.04.03 REACTIVI CU TVA</t>
  </si>
  <si>
    <t>TOTAL ART. 20.04.04 DEZINFECTANTI CU TVA</t>
  </si>
  <si>
    <t>TOTAL ART. 20.05.01 UNIFORME SI ECHIPAMENT CU TVA</t>
  </si>
  <si>
    <t>TOTAL ART. 20.05.03 LENJERIE SI ACCESORII DE PAT CU TVA</t>
  </si>
  <si>
    <t>TOTAL ART. 20.05.30 ALTE OBIECTE DE INVENTAR CU TVA</t>
  </si>
  <si>
    <t>TOTAL ART. 20.06.01 DEPLASARI INTERNE, DETASARI, TRANSFERARI CU TVA</t>
  </si>
  <si>
    <t>TOTAL ART. 20.09 MATERIALE DE LABORATOR CU TVA</t>
  </si>
  <si>
    <t>TOTAL ART. 20.11 CARTI, PUBLICATII SI MATERIALE DOCUMENTARE CU TVA</t>
  </si>
  <si>
    <t>TOTAL ART. 20.14 PROTECTIA MUNCII CU TVA</t>
  </si>
  <si>
    <t>TOTAL ART. 20.30.03 PRIME DE ASIGURARE NON-VIATA CU TVA</t>
  </si>
  <si>
    <t>TOTAL ART. 20.30.04 CHIRII CU TVA</t>
  </si>
  <si>
    <t>TOTAL ART. 20.30.30 ALTE CHELTUIELI CU TVA</t>
  </si>
  <si>
    <t>VALOARE TOTALA CU TVA</t>
  </si>
  <si>
    <t>Director financiar contabil,</t>
  </si>
  <si>
    <t>Compartiment intern specializat în domeniul achizitiilor publice/persoana desemnata</t>
  </si>
  <si>
    <t>Ec. Ligia Zamfira</t>
  </si>
  <si>
    <t>Ref. Spec. Irina Cinciu</t>
  </si>
  <si>
    <t>INSTITUTUL NATIONAL DE NEUROLOGIE SI BOLI NEUROVASCULARE</t>
  </si>
  <si>
    <t>COD FISCAL 7548010</t>
  </si>
  <si>
    <t>Se aproba,</t>
  </si>
  <si>
    <t>Manager,</t>
  </si>
  <si>
    <t>x</t>
  </si>
  <si>
    <t>modificare, completare, adaugare,eliminare</t>
  </si>
  <si>
    <t>modificare buget</t>
  </si>
  <si>
    <t>Cinciu Irina - Ref. Spec.</t>
  </si>
  <si>
    <t>Manager, Director Financiar, Director Medical</t>
  </si>
  <si>
    <t>toate art. Bugetare</t>
  </si>
  <si>
    <t>33100000-1 Echipamente medicale (Rev.2)</t>
  </si>
  <si>
    <t>TOTAL 70.01.02 Masini si echipamente medicale</t>
  </si>
  <si>
    <t>39143123-4 - Noptiere (Rev.2)</t>
  </si>
  <si>
    <t>Director medical,</t>
  </si>
  <si>
    <t>Dr. Maris Claudia</t>
  </si>
  <si>
    <t>33196000-0 - Mijloace auxiliare medicale (Rev.2)</t>
  </si>
  <si>
    <t>TOTAL ART. 71.01.30 ALTE ACTIVE FIXE CU TVA</t>
  </si>
  <si>
    <t>71.01.30 ALTE ACTIVE FIXE achizitii directe cu TVA</t>
  </si>
  <si>
    <t>70.01.02 Masini si echipamente medicale achizitie directa cu TVA</t>
  </si>
  <si>
    <t>30232110-8 Imprimante laser (Rev.2)</t>
  </si>
  <si>
    <t>Implanturi si instrumente chirurgicale</t>
  </si>
  <si>
    <t>Lotiune pentru spalarea mainilor MANISOFT 500 ml</t>
  </si>
  <si>
    <t>33741100-7 - Produse de curatare a mainilor (Rev.2)</t>
  </si>
  <si>
    <t>Octenisan® Waschlotion - ambalaj flacon 1 litru</t>
  </si>
  <si>
    <t>33700000-7 - Produse de ingrijire personala (Rev.2)</t>
  </si>
  <si>
    <t>38412000-6 - Termometre (Rev.2)</t>
  </si>
  <si>
    <t>18812200-6 - Cizme de cauciuc (Rev.2)</t>
  </si>
  <si>
    <t>Cizme protectie</t>
  </si>
  <si>
    <t>31521000-4 - Lampi (Rev.2)</t>
  </si>
  <si>
    <t>31515000-9 - Lampi cu ultraviolete (Rev.2)</t>
  </si>
  <si>
    <t>71317100-4 Servicii de consultanta in protectia contra incendiilor si a exploziilor si in controlul incendiilor si al exploziilor (Rev.2)</t>
  </si>
  <si>
    <t>71317000-3 Servicii de consultanta in protectia contra riscurilor si in controlul riscurilor (Rev.2)</t>
  </si>
  <si>
    <t>MOUSE USB 3300 SERIOUX</t>
  </si>
  <si>
    <t>30237410-6 - Mouse pentru computer (Rev.2)</t>
  </si>
  <si>
    <t>33191000-5 - Aparate de sterilizare, de dezinfectare si de igienizare (Rev.2)</t>
  </si>
  <si>
    <t>19520000-7 - Produse din plastic (Rev.2)</t>
  </si>
  <si>
    <t>39224340-3 - Pubele (Rev.2)</t>
  </si>
  <si>
    <t>44618500-0 - Cuve (Rev.2)</t>
  </si>
  <si>
    <t>39221200-9 - Vesela de masa (Rev.2)</t>
  </si>
  <si>
    <t>33192300-5 - Mobilier medical, cu exceptia paturilor si a meselor (Rev.2)</t>
  </si>
  <si>
    <t>33194100-7 - Aparate si instrumente pentru perfuzie (Rev.2)</t>
  </si>
  <si>
    <t>39112000-0 - Scaune (Rev.2)</t>
  </si>
  <si>
    <t>39360000-3 - Echipament de sigilare (Rev.2)</t>
  </si>
  <si>
    <t>39715240-1 - Aparate electrice de incalzire ambientala (Rev.2)</t>
  </si>
  <si>
    <t>39122100-4 Dulapuri (Rev.2)</t>
  </si>
  <si>
    <t xml:space="preserve">TOTAL BUNURI SI SERVICII </t>
  </si>
  <si>
    <t>33124130-5 - Accesorii de diagnosticare (Rev.2)</t>
  </si>
  <si>
    <t>34913000-0 - Diverse piese de schimb (Rev.2)</t>
  </si>
  <si>
    <t>PAAP 2020</t>
  </si>
  <si>
    <t>Achiziții directe 2020</t>
  </si>
  <si>
    <t>DEBITMETRU</t>
  </si>
  <si>
    <t>BARBOTOARE O2 CU H2O STERILA UF SET COMPLET 340ML/UMIDIFICATOR</t>
  </si>
  <si>
    <t>FILTRU FINAL APA STERILA 31 ZILE</t>
  </si>
  <si>
    <t>SET COMPLET CABLURI MONITOR PACIENT PENTRU MONITOR DRAGER</t>
  </si>
  <si>
    <t>ASPIRATOR TIP VENTURI PE AER COMPRIMAT 4 BAR COMPLET CU VAS SECRETII 1L CU SUPORT PERETE</t>
  </si>
  <si>
    <t>33198000-4 - Articole din hartie pentru spitale (Rev.2)</t>
  </si>
  <si>
    <t>24455000-8 - Dezinfectanti (Rev.2); 33631600-8 Antiseptice si dezinfectante (Rev.2)</t>
  </si>
  <si>
    <t xml:space="preserve">Servicii de monitorizare dozimetrică </t>
  </si>
  <si>
    <t>STAMPILA</t>
  </si>
  <si>
    <t>CARUCIOR INSTRUMENTAR INOX 3 POLITE</t>
  </si>
  <si>
    <t>LARINGOSCOP</t>
  </si>
  <si>
    <t>PARAVAN 3 ELEMENTI</t>
  </si>
  <si>
    <t>PARAVAN 5 ELEMENTI</t>
  </si>
  <si>
    <t>PULSOXIMETRU</t>
  </si>
  <si>
    <t>SALTEA ANTIESCARE</t>
  </si>
  <si>
    <t>TENSIOMETRU ELECTRONIC</t>
  </si>
  <si>
    <t>VIZIERA DE PROTECTIE PT FATA PLEXIGLAS</t>
  </si>
  <si>
    <t>APARAT AER CONDITIONAT</t>
  </si>
  <si>
    <t>CONTAINER STERILIZARE</t>
  </si>
  <si>
    <t>COS GUNOI STRADAL</t>
  </si>
  <si>
    <t>COS GUNOI CU PEDALA</t>
  </si>
  <si>
    <t>CUTIE PVC DEPOZITARE 430*230*280</t>
  </si>
  <si>
    <t>FARFURII</t>
  </si>
  <si>
    <t>GALEATA CU STORCATOR</t>
  </si>
  <si>
    <t>TERMOMETRE FRIGIDER</t>
  </si>
  <si>
    <t>39717200-3 - Aparate de aer conditionat (Rev.2)</t>
  </si>
  <si>
    <t>30192153-8 Stampile cu text (Rev.2)</t>
  </si>
  <si>
    <t>34911100-7 - Carucioare (Rev.2)</t>
  </si>
  <si>
    <t>33190000-8 - Diverse aparate si produse medicale (Rev.2)</t>
  </si>
  <si>
    <t>39143112-4 - Saltele (Rev.2)</t>
  </si>
  <si>
    <t>33123100-9 - Tensiometru (Rev.2)</t>
  </si>
  <si>
    <t>32323000-3 - Monitoare video (Rev.2)</t>
  </si>
  <si>
    <t>30141200-1 - Calculatoare de birou (Rev.2)</t>
  </si>
  <si>
    <t>18443500-1 - Viziere (Rev.2)</t>
  </si>
  <si>
    <t>30233300-4 - Cititoare de carduri inteligente (Rev.2)</t>
  </si>
  <si>
    <t>38434520-7 Analizoare de sange (Rev.2)</t>
  </si>
  <si>
    <t>39711130-9 - Frigidere (Rev.2)</t>
  </si>
  <si>
    <t>32550000-3 Echipament telefonic (Rev.2)</t>
  </si>
  <si>
    <t>39152000-2 - Rafturi mobile (Rev.2)</t>
  </si>
  <si>
    <t>32342100-3 Casti (Rev.2)</t>
  </si>
  <si>
    <t>39224330-0 Galeti (Rev.2)</t>
  </si>
  <si>
    <t>39224340-3 Pubele (Rev.2)</t>
  </si>
  <si>
    <t>Servicii de analiza sau consultanta tehnica RSTVI</t>
  </si>
  <si>
    <t>71621000-7 - Servicii de analiza sau consultanta tehnica (Rev.2)</t>
  </si>
  <si>
    <t>Servicii mentenanta echipamente securitate si CATV</t>
  </si>
  <si>
    <t>50334110-9 - Servicii de intretinere a retelei telefonice (Rev.2)</t>
  </si>
  <si>
    <t>35111000-5 - Echipament de stingere a incendiilor (Rev.2)</t>
  </si>
  <si>
    <t>APARAT DE LIPIT LM 2000 INKL BUTELIE DE GAZ</t>
  </si>
  <si>
    <t>APARAT TELEFONIC KX-TS500 PANASONIC</t>
  </si>
  <si>
    <t>BOL CU MANER</t>
  </si>
  <si>
    <t>CALORIFER ELECTRIC ZASSZR 13 ELEMENTI</t>
  </si>
  <si>
    <t>CARUCIOR BUTELIE DE GAZ 10-15L</t>
  </si>
  <si>
    <t>CASOLETE</t>
  </si>
  <si>
    <t>CASTI ANTIFONICE CU VIZOR DIN POLICRBONAT</t>
  </si>
  <si>
    <t>CITITOR DE CARDURI DE SANATATE CU TASTATURA SI DISPLAY OMNIKEY 3821</t>
  </si>
  <si>
    <t>COS COLECTOR DE DESEURI CU PEDALA 50L</t>
  </si>
  <si>
    <t>COS GUNOI PEDALA</t>
  </si>
  <si>
    <t>CUTIE L25 TANSPORT</t>
  </si>
  <si>
    <t>CUTIE PVC DEPOZITARE 500*450*200</t>
  </si>
  <si>
    <t>CUTII  P0VC DEPOZITARE 400*180*200</t>
  </si>
  <si>
    <t>CUTII PVC DEPOZITARE  430*230*280</t>
  </si>
  <si>
    <t>CUTII PVC DEPOZITARE 330*160*160MM</t>
  </si>
  <si>
    <t>CUTII PVC DEPOZITARE 400*280*250</t>
  </si>
  <si>
    <t>CUTII PVC DEPOZITARE 500*400*200</t>
  </si>
  <si>
    <t>CUTII TRANSPORT 8L</t>
  </si>
  <si>
    <t>DULAP 2 COMPARTIMENTE 3/4 POLITE 900*600*2200MM</t>
  </si>
  <si>
    <t>DULAP 2 COMPARTIMENTE 3POLITE 500*550*550*2200/2300</t>
  </si>
  <si>
    <t>DULAP 2 COMPARTIMENTE SI 3/4 POLITE 600*500*2550MM</t>
  </si>
  <si>
    <t>DULAP 3 COMPARTIMENTE 3POLITE 600*500*2400</t>
  </si>
  <si>
    <t>DULAP 4 COMPARTIMENTE 2 POLITE</t>
  </si>
  <si>
    <t>DULAP 4 COMPARTIMENTE 3 POLITE 1000*550*2200/2300</t>
  </si>
  <si>
    <t>DULAP 4 COMPARTIMENTE 3/4 800*700*2550MM</t>
  </si>
  <si>
    <t>DULAP 4 COMPARTIMENTE 3/4 POLITE 600*500*2550MM</t>
  </si>
  <si>
    <t>DULAP 4 COMPARTIMENTE 450*500*2100</t>
  </si>
  <si>
    <t>DULAP 6 COMPARTIMENTE 3POLITE  900*500*2400</t>
  </si>
  <si>
    <t>DULAP 6 COMPARTIMENTE 5 POLITE</t>
  </si>
  <si>
    <t>DULAP 6COMPARTIMENTE 1150*450*900</t>
  </si>
  <si>
    <t>DULAP 8 COMPARTIMENTE CU SERTARE 1150*500*900</t>
  </si>
  <si>
    <t>DULAP 8COMPARTIMENTE 900*500*2100</t>
  </si>
  <si>
    <t>DULAP 9 COMPARTIMENTE 1650*-400*2100/800</t>
  </si>
  <si>
    <t>FIVE SMART UVC BACTERICIDE.VIRUCIDE LAMP</t>
  </si>
  <si>
    <t>FRIGIDER 115L</t>
  </si>
  <si>
    <t>FRIGIDER CU 2USI 212L</t>
  </si>
  <si>
    <t>GLUCOMETRU IME DC IDIA</t>
  </si>
  <si>
    <t>IMPRIMANTA 3020VBI PHASER 3020 PRINTER</t>
  </si>
  <si>
    <t>IMPRIMANTA LASER</t>
  </si>
  <si>
    <t>LAMA LARIGOSCOP</t>
  </si>
  <si>
    <t>LAMPA BACTERICIDA/VIRUCIDA UVC FIFE SMART</t>
  </si>
  <si>
    <t>LAMPA LIPIT PIEZO*4 CARTUSE GAZ</t>
  </si>
  <si>
    <t>LAMPA UVC PHILIPS PL-L( CU VIZIERE 2 BUC, MANUSI PVC 4 BUC)</t>
  </si>
  <si>
    <t>MASCA PT TERAPIE CPAP /NIV FULL FACE AUTOCLAVABILA</t>
  </si>
  <si>
    <t>MASINA  SIGILAT PUNGI STERILIZARE</t>
  </si>
  <si>
    <t>MONITOARE LED PHILIPS 24 DISPLAYPORT DVI-D USB 2.0 ALB</t>
  </si>
  <si>
    <t>MONITORLED MVA AOC</t>
  </si>
  <si>
    <t>MULTIFUNCTIONAL LASER HP LASERJET PRO MFP M227FDW</t>
  </si>
  <si>
    <t>MULTIFUNCTIONAL LASER MONOCROM CANON I SENSYS NMF443DW</t>
  </si>
  <si>
    <t>MULTIFUNCTIONAL LASER MONOCROM XEROX WORKCENTRE 3215V,ADF WIRLEESS</t>
  </si>
  <si>
    <t>MULTIFUNCTIONALA BROTHER MFC-L5500DN MONOCROM</t>
  </si>
  <si>
    <t>NOPTIERE SPITAL</t>
  </si>
  <si>
    <t>PARAVAN MOBIL 5 SECTIUNI</t>
  </si>
  <si>
    <t>PICHET PSI (PANOU INCENDIU)</t>
  </si>
  <si>
    <t>PLITA ELECTRICA</t>
  </si>
  <si>
    <t>RAFTURI MET</t>
  </si>
  <si>
    <t>SCAUN RIO</t>
  </si>
  <si>
    <t>SISTEM DESTOP PROCESORINTEL CORE 5-9400 COFFE LAKE 2.9GH BX80684159400</t>
  </si>
  <si>
    <t>SISTEM OFFICE AMD RYZEN 3 2200G 3.5GHZ 8GB DDR4 1TB HDD*128GB SSD</t>
  </si>
  <si>
    <t>STINGATOR       P6</t>
  </si>
  <si>
    <t>SUPORT SAC MENAJER 120L</t>
  </si>
  <si>
    <t>TENSIOMERTU CU STETOSCOP</t>
  </si>
  <si>
    <t>TENSIOMETRU ELECTRONIC AUTOMAT</t>
  </si>
  <si>
    <t>TERMOMETRE CAMERA</t>
  </si>
  <si>
    <t>TERMOMETRU NON CONTACT</t>
  </si>
  <si>
    <t>TROLIU/ CARUCIOR</t>
  </si>
  <si>
    <t>TUSIERA</t>
  </si>
  <si>
    <t>VANA  DEZINFECTIE 30L CU ROBINET</t>
  </si>
  <si>
    <t>VANA DEZINFECTIE 10L CIU CAPAC ALB</t>
  </si>
  <si>
    <t>VANA DEZINFECTIE 5L</t>
  </si>
  <si>
    <t>VIZIERA DE PROTRECTIE</t>
  </si>
  <si>
    <t>VIZOR DE RADIOPROTECTIE BRV500</t>
  </si>
  <si>
    <t>35113420-9 - Imbracaminte de protectie impotriva agentilor nucleari si radiologici (Rev.2)</t>
  </si>
  <si>
    <t>30192111-2 Tusiere (Rev.2)</t>
  </si>
  <si>
    <t>38436310-6 - Plite electrice (Rev.2)</t>
  </si>
  <si>
    <t>33171210-4 - Masca de reanimare (Rev.2)</t>
  </si>
  <si>
    <t>TOTAL ART. 20.13 PREGATIRE PROFESIONALA CU TVA</t>
  </si>
  <si>
    <t>PREGATIRE PROFESIONALA</t>
  </si>
  <si>
    <t>APARATE AER CONDITIONAT</t>
  </si>
  <si>
    <t>STATIV PERFUZII DIN INOX</t>
  </si>
  <si>
    <t>CANAPELE</t>
  </si>
  <si>
    <t>33600000-6 - Produse farmaceutice (Rev.2)</t>
  </si>
  <si>
    <t>20.01.02 Materiale pentru curatenie cu TVA</t>
  </si>
  <si>
    <t>20.01.02 Materiale pentru curatenie cu TVA achizitii directe</t>
  </si>
  <si>
    <t>TOTAL 20.01.02 Materiale pentru curatenie</t>
  </si>
  <si>
    <t>Piese schimb sterlizare ISM 3</t>
  </si>
  <si>
    <t>42141000-9 - Angrenaje, elemente de angrenare si de antrenare cilindrice (Rev.2)</t>
  </si>
  <si>
    <t>39525200-0 - Elemente filtrante din panza (Rev.2)</t>
  </si>
  <si>
    <t>ELECTROZI EKG</t>
  </si>
  <si>
    <t>33141000-0 - Consumabile medicale nechimice de unica folosinta si consumabile hematologice (Rev.2)</t>
  </si>
  <si>
    <t>GRUPE SANGUINE seruri hemotest</t>
  </si>
  <si>
    <t>33696100-6 - Reactivi pentru determinarea grupelor sanguine (Rev.2)</t>
  </si>
  <si>
    <t>SERAFOL AB0+D</t>
  </si>
  <si>
    <t>TOLUEN PENTRU ANALIZA / TOLUEN PA</t>
  </si>
  <si>
    <t>24321222-2 - Toluen (Rev.2)</t>
  </si>
  <si>
    <t>30237280-5 - Accesorii de alimentare (Rev.2)</t>
  </si>
  <si>
    <t>UPS 3000VA/2700W</t>
  </si>
  <si>
    <t>Agregat frigorific automatizat camera mortuara capacitate 12 m3</t>
  </si>
  <si>
    <t>50730000-1 - Servicii de reparare si de intretinere a grupurilor de refrigerare (Rev.2)</t>
  </si>
  <si>
    <t>22000000-0 - Imprimate si produse conexe (Rev.2); 22900000-9 - Diverse imprimate (Rev.2); 22458000-5 - Imprimate la comanda (Rev.2);22852000-7 - Dosare (Rev.2)</t>
  </si>
  <si>
    <t>Reparatii curente (LUCRARI TAMPLARIE PVC, GEAM STICLA, PANEL SI FERONERIE TRAFIC INTENS; LUCRARI TAMPLARIE PVC; Lucrari refacere tablouri electrice ATI; LUCRARI DE REPARATII SI RENOVARE; LUCRARI CONFECTIONARE,DEMONTARE,MONTAJ TAMPLARIE PVC; Lucrari de confectionare si montaj balustrade/mana curenta otel inox; Lucrari de inlocuire canalizare 160 , servicii curatare si spalare canalizare; Lucrari de interventie la instalatiile de termoficare si incalzire; LUCRARI DE REPARATIE INSTALATIE/TABLOURI ELECTRICE)</t>
  </si>
  <si>
    <t>33690000-3 - Diverse medicamente (Rev.2)</t>
  </si>
  <si>
    <t>33642200-4 - Corticosteroizi pentru uz sistemic (Rev.2)</t>
  </si>
  <si>
    <t>Servicii de reparare si de intretinere a automobilelor B-74-XOD</t>
  </si>
  <si>
    <t>50112000-3 - Servicii de reparare si de intretinere a automobilelor (Rev.2)</t>
  </si>
  <si>
    <t>SERVICII MENTENANTA RETEA SI CENTRALA TELEFONICA</t>
  </si>
  <si>
    <t>SERVICII MENTENANTA GRUPURI REFRIGERARE 4-6 SI -30-36 GRADE CELSIUS</t>
  </si>
  <si>
    <t>Revizie microscop operator OPMI Pentero</t>
  </si>
  <si>
    <t>Revizie anuala grup electrogen  100KVA</t>
  </si>
  <si>
    <t>31121100-1 - Grupuri electrogene cu motor cu aprindere prin compresie (Rev.2)</t>
  </si>
  <si>
    <t>Service prize oxigen, uscator BADME020 si Compresor Boge S15</t>
  </si>
  <si>
    <t>Acord - cadru de furnizare medicamente uz uman divizate pe 2 loturi</t>
  </si>
  <si>
    <t xml:space="preserve"> 33651100-9 - Antibacterieni pentru uz sistemic (Rev.2)</t>
  </si>
  <si>
    <t>TOTAL ART. 71.01.01 Mijloace fixe  CU TVA</t>
  </si>
  <si>
    <t>Acord - cadru de furnizare medicamente uz uman divizate pe 84 loturi</t>
  </si>
  <si>
    <t>33622000-6 - Medicamente pentru sistemul cardiovascular (Rev.2)</t>
  </si>
  <si>
    <t>33661500-6 - Psiholeptice (Rev.2)</t>
  </si>
  <si>
    <t>Prestari Servicii de asistenta tehnica si mentenanta software- pentru sistemul informatic Hospital Management Solution, pentru Lotul 3 Servicii de asistenta tehnica si mentenanta software- pentru sistemul informatic Hospital Management Suite, pentru Lotul 4 Servicii de asistenta tehnica si mentenanta software- pentru sistemul informatic Hospital Management Suite - Salary Manager</t>
  </si>
  <si>
    <t>Acord - cadru de furnizare medicamente uz uman divizate pe 24 loturi</t>
  </si>
  <si>
    <t>Medicamente uz uman divizate pe 30 loturi</t>
  </si>
  <si>
    <t>Conf. Dr. Corneliu Toader</t>
  </si>
  <si>
    <t>BORCANE ASPIRATIE CHIRURGICALA PT COLECTARE FLUIDE</t>
  </si>
  <si>
    <t>FUSER UNIT HP M401 M425 220 COMPATIBIL-CILINDRU</t>
  </si>
  <si>
    <t>KIT PERIFERICE SPACER SPDS (TASTATURA)</t>
  </si>
  <si>
    <t>SURSA ALIMENTARE</t>
  </si>
  <si>
    <t>CABLU ECG/EKG 10 FIRE BIONET/EE100URI CABLU ECG PROT UNIVERSALE BANANA 4MM</t>
  </si>
  <si>
    <t>CABLU ECG/EKG CU 5 NDERIVATII DRAGER/CR  6 63335IC MINDRAY PM-7000,6201</t>
  </si>
  <si>
    <t>CAPCANE  APA</t>
  </si>
  <si>
    <t>CARTUS PREFILTRARE APA LAVOAR 1 MICRON</t>
  </si>
  <si>
    <t>CARTUS PREFILTRARE APA LAVOAR 20 MICRONI</t>
  </si>
  <si>
    <t>CARTUS PREFILTRARE APA LAVOAR 5 MICRONI</t>
  </si>
  <si>
    <t>FILTRU PENTRU ANESTEZIE SI TERAPIE INTENSIVA PALL BB100ES</t>
  </si>
  <si>
    <t>FURTUN AER NIMB MONITOR NIHON-KOHDEN</t>
  </si>
  <si>
    <t>FURTUN SILICONIC PT ASPRIRATIE 25481 SILICONE TUBE</t>
  </si>
  <si>
    <t>KIT RESUSCITARE BALON RUBEN</t>
  </si>
  <si>
    <t>MANSETA NIBP REUTILIZABILA MONITOR ADULT SINGLE TUBE</t>
  </si>
  <si>
    <t>MANSETA NIMB REUTILIZABILA MONITOR</t>
  </si>
  <si>
    <t>SAC COLECTARE SECTETII CU AGENT GELIFICARE</t>
  </si>
  <si>
    <t>SENZOR DE TEMPERATURA REUTILIZABIL MONITOR DRAGER INFINITY</t>
  </si>
  <si>
    <t>SENZOR FLUX SPIROLOG SET 5  BUC SENZOR  FLUX</t>
  </si>
  <si>
    <t>SENZOR SPO2 COMPATIBIL DRAGER INFINITY</t>
  </si>
  <si>
    <t>SENZOR SPO2 PT MONITOR NIHON KOHDEN</t>
  </si>
  <si>
    <t>VALVA EXPIR  SAVINA</t>
  </si>
  <si>
    <t>BUC</t>
  </si>
  <si>
    <t>20.01.06</t>
  </si>
  <si>
    <t>PIESE DE SCHIMB</t>
  </si>
  <si>
    <t>ML</t>
  </si>
  <si>
    <t>33169400-6 - Recipiente cu utilizare chirurgicala (Rev.2)</t>
  </si>
  <si>
    <t>Prestari servicii asistenta medicala infectii nosocomiale - medic infectionist</t>
  </si>
  <si>
    <t>33162000-3 Dispozitive si instrumente pentru blocul operator (Rev.2)</t>
  </si>
  <si>
    <t>CONSUMABILE BLOC OPERATOR (hemostatic, rezervoare, canule aspiratie, catetere poliuretan)</t>
  </si>
  <si>
    <t>Materiale sanitare 6 loturi (lame bisturiu, masca O2, fire sintetice, tavite renale, plasture tip omnifix, catetere angiografie)</t>
  </si>
  <si>
    <t>Recipiente si pungi de recoltare, drenaj si truse</t>
  </si>
  <si>
    <t>33141600-6 - Recipiente si pungi de recoltare, drenaj si truse (Rev.2)</t>
  </si>
  <si>
    <t>REACTIVI (7 loturi)</t>
  </si>
  <si>
    <t>Prestari servicii protectia mediului</t>
  </si>
  <si>
    <t>90700000-4 - Servicii privind mediul (Rev.2)</t>
  </si>
  <si>
    <t>FORTIGATE 70F UTP</t>
  </si>
  <si>
    <t>32420000-3 Echipament de retea (Rev.2)</t>
  </si>
  <si>
    <t>TOTAL ART. 70.01.02 Masini si echipamente medicale CU TVA</t>
  </si>
  <si>
    <t>33661300-4 - Antiepileptice (Rev.2)</t>
  </si>
  <si>
    <t>33141118-0 - Comprese de tifon (Rev.2)</t>
  </si>
  <si>
    <t>33141114-2 - Tifon medical (Rev.2)</t>
  </si>
  <si>
    <t>33141115-9 - Vata medicala (Rev.2)</t>
  </si>
  <si>
    <t>33124131-2 - Benzi reactive (Rev.2)</t>
  </si>
  <si>
    <t>33141641-5 - Sonde (Rev.2)</t>
  </si>
  <si>
    <t>Certificat SSL - RapidSSL WildcardSSL - (2023-03-27 - 2024-03-26)</t>
  </si>
  <si>
    <t>48218000-9 - Pachete software pentru gestionarea licentelor (Rev.2)</t>
  </si>
  <si>
    <t>ROBINETI CU 3 CAI</t>
  </si>
  <si>
    <t>33111710-1 - Accesorii pentru angiografie (Rev.2)</t>
  </si>
  <si>
    <t>33141220-8 - Canule (Rev.2)</t>
  </si>
  <si>
    <t>38519660-0 - Huse de protectie pentru microscop (Rev.2)</t>
  </si>
  <si>
    <t>Apa oxigenata 3% * 1000ml (flacon cu picurator)</t>
  </si>
  <si>
    <t>BUCOTISOL - glicerina boraxata 10%</t>
  </si>
  <si>
    <t>FLAGYL 250MG X 20CPR FILM (METRONIDAZOLUM)</t>
  </si>
  <si>
    <t>FORTIFIKAT FORTE 825MG CT*30 CPS MOI</t>
  </si>
  <si>
    <t>HEPIFLOR *10CPS</t>
  </si>
  <si>
    <t>Rivanol 0.1% x 1000ml (flacon cu picurator)</t>
  </si>
  <si>
    <t>Salvo 20mg/5mg*28cpr.film(OLMESARTANUM MEDOXOMILUM+AMLODIPINUM)</t>
  </si>
  <si>
    <t>33651100-9 - Antibacterieni pentru uz sistemic (Rev.2)</t>
  </si>
  <si>
    <t>33680000-0 - Articole farmaceutice (Rev.2)</t>
  </si>
  <si>
    <t>33621100-0 - Antitrombotice (Rev.2)</t>
  </si>
  <si>
    <t>33651000-8 - Antiinfectioase generale pentru uz sistemic (Rev.2)</t>
  </si>
  <si>
    <t>33632100-0 - Antiinflamatoare si antireumatismale (Rev.2)</t>
  </si>
  <si>
    <t>33692600-3 - Preparate galenice (Rev.2)</t>
  </si>
  <si>
    <t>33661200-3 - Analgezice (Rev.2)</t>
  </si>
  <si>
    <t>33141200-2 - Catetere (Rev.2)</t>
  </si>
  <si>
    <t>33157110-9 - Masca de oxigen (Rev.2)</t>
  </si>
  <si>
    <t>Acord – cadru de furnizare medicamente uz uman divizate pe 50 loturi</t>
  </si>
  <si>
    <t>Acord - cadru de furnizare medicamente uz uman divizate pe 35 loturi</t>
  </si>
  <si>
    <t>33172000-6 - Aparate de anestezie si de reanimare (Rev.2)</t>
  </si>
  <si>
    <t>30237475-9 - Senzori electrici (Rev.2)</t>
  </si>
  <si>
    <t>33157700-2 - Barbotor pentru oxigenoterapie (Rev.2)</t>
  </si>
  <si>
    <t>71000000-8 - Servicii de arhitectura, de constructii, de inginerie si de inspectie (Rev.2)</t>
  </si>
  <si>
    <t>Consolidare, modernizare si extindere Pavilion Neurologie</t>
  </si>
  <si>
    <t>TOTAL ART. 20.30.03 PRIME ASIGURARE NON-VIATA</t>
  </si>
  <si>
    <t>ACORD CADRU CONSUMABILE UTILIZATE PENTRU PROCEDURI NEUROINTERVENTIONALE</t>
  </si>
  <si>
    <t>ACORD CADRU CONSUMABILE UTILIZATE IN STENOZE SI EMBOLIZARE MALFORMATII VASCULARE</t>
  </si>
  <si>
    <t>ACORD CADRU CONSUMABILE RADIOLOGIE INTERVENTIONALA</t>
  </si>
  <si>
    <t>ARTICOL BUGETAR</t>
  </si>
  <si>
    <t>NUME ARTICOL BUGETAR</t>
  </si>
  <si>
    <t>DENUMIRE PRODUS</t>
  </si>
  <si>
    <t>U.M.</t>
  </si>
  <si>
    <t>PRET UNITAR FARA TVA</t>
  </si>
  <si>
    <t>CANTITATE</t>
  </si>
  <si>
    <t>20.01.01</t>
  </si>
  <si>
    <t>FURNITURI DE BIROU</t>
  </si>
  <si>
    <t>BANDA ADEZIVA TIP3</t>
  </si>
  <si>
    <t>BIBLIORAFT KORONA</t>
  </si>
  <si>
    <t>CAPSE 24/6</t>
  </si>
  <si>
    <t>CUT</t>
  </si>
  <si>
    <t>CORECTOR FLUID H2O</t>
  </si>
  <si>
    <t>DOSAR PLASTIC DIFERITE CULORI</t>
  </si>
  <si>
    <t>DOSAR SIMPLU ALB</t>
  </si>
  <si>
    <t>HARTIE COPIATOR A4</t>
  </si>
  <si>
    <t>TOP</t>
  </si>
  <si>
    <t>MARKER</t>
  </si>
  <si>
    <t>PIX PLASTIC UF ALBASTRE</t>
  </si>
  <si>
    <t>REGISTRU 200 FILE</t>
  </si>
  <si>
    <t>SFOARA GHEM</t>
  </si>
  <si>
    <t>AGRAFE METAL 50MM</t>
  </si>
  <si>
    <t>DVD</t>
  </si>
  <si>
    <t>CD RW</t>
  </si>
  <si>
    <t>FOLIE PROTECTIE</t>
  </si>
  <si>
    <t>SET</t>
  </si>
  <si>
    <t>AVIZ DE INSOTIRE A MARFII</t>
  </si>
  <si>
    <t>CHITANTIERE</t>
  </si>
  <si>
    <t>ECHIPAMENT DAT LA SPALAT</t>
  </si>
  <si>
    <t>TOTAL ART. 20.01.01 FURNITURI DE BIROU</t>
  </si>
  <si>
    <t>20.01.02</t>
  </si>
  <si>
    <t>MATERIALE PENTRU CURATENIE</t>
  </si>
  <si>
    <t>COZI DE MATURA</t>
  </si>
  <si>
    <t>L</t>
  </si>
  <si>
    <t>DETERGENT UNIVERSAL</t>
  </si>
  <si>
    <t>HARTIE IGIENICA</t>
  </si>
  <si>
    <t>MATURI PVC</t>
  </si>
  <si>
    <t>DETERGENT LICHID DE VASE</t>
  </si>
  <si>
    <t>SAPUN  LICHID</t>
  </si>
  <si>
    <t>CUTII POLIP 0.2 L</t>
  </si>
  <si>
    <t>BIDON DESEURI LICHIDE 5 L</t>
  </si>
  <si>
    <t>AGENT NEUTRALIZARE</t>
  </si>
  <si>
    <t>DETERGENT LICHID CU DEZINFECTANT</t>
  </si>
  <si>
    <t>DOMESTOS PROFESIONAL</t>
  </si>
  <si>
    <t>SACI MENAJ N</t>
  </si>
  <si>
    <t>ROLA</t>
  </si>
  <si>
    <t>BURETI VASE</t>
  </si>
  <si>
    <t>LAVETE</t>
  </si>
  <si>
    <t>SACI PE 120L</t>
  </si>
  <si>
    <t>CUTII CARTON 40L</t>
  </si>
  <si>
    <t>ROLA PROSOP</t>
  </si>
  <si>
    <t>CUTII PP 2,3L</t>
  </si>
  <si>
    <t>SACI PENTRU TRANSPORTUL CADAVRELOR</t>
  </si>
  <si>
    <t>CUTII CARTON PT DESEURI ANATOMO PATOLOGICE</t>
  </si>
  <si>
    <t>DETERGENT GETINGE CLEAN  UNIV</t>
  </si>
  <si>
    <t>AGENT CLATIRE GETINGE RINSE</t>
  </si>
  <si>
    <t>SET BOL SUPA, FARFURII,PAHARE</t>
  </si>
  <si>
    <t>BURETI NATURALI  LUFE</t>
  </si>
  <si>
    <t>SET 3 LAVETE  DIN  MICROFIBRA</t>
  </si>
  <si>
    <t>TOTAL ART. 20.01.02 MATERIALE PENTRU CURATENIE</t>
  </si>
  <si>
    <t>20.01.03</t>
  </si>
  <si>
    <t>ÎNCALZIT, ILUMINAT SI FORTA MOTRICA</t>
  </si>
  <si>
    <t>BATERIE LITIU 3V</t>
  </si>
  <si>
    <t>BATERIE R14</t>
  </si>
  <si>
    <t>BATERIE AAA LR 3, 1.5V</t>
  </si>
  <si>
    <t>BATERIE AA LR6, 1.5V</t>
  </si>
  <si>
    <t>BEC LED / SMD13W</t>
  </si>
  <si>
    <t>TUB LED SMD 10W SUPER CLAR</t>
  </si>
  <si>
    <t>TOTAL ART. 20.01.03 INCALZIT, ILUMINAT SI FORTA MOTRICA</t>
  </si>
  <si>
    <t>APA, CANAL SI SALUBRITATE</t>
  </si>
  <si>
    <t>TOTAL ART. 20.01.04 APA, CANAL SI SALUBRITATE</t>
  </si>
  <si>
    <t>20.01.05</t>
  </si>
  <si>
    <t>CARBURANTI SI LUBRIFIANTI</t>
  </si>
  <si>
    <t>COMBUSTIBIL AUTOSANITARA</t>
  </si>
  <si>
    <t>COMBUSTIBIL GRUP ELECTROGEN</t>
  </si>
  <si>
    <t>TOTAL ART. 20.01.05 CARBURANTI SI LUBRIFIANTI</t>
  </si>
  <si>
    <t>FUSER UNIT BRODER HL - L 2370</t>
  </si>
  <si>
    <t>SAC COLECTARE SECRETII CU AGENT GELIFICARE</t>
  </si>
  <si>
    <t>PUNGA PENTRU ASPIRATIE CU GEL</t>
  </si>
  <si>
    <t>PALETA VENTILATOR UNIT EXTERIOARA</t>
  </si>
  <si>
    <t>ACCES POINT UBIQUITI  GIGABIT</t>
  </si>
  <si>
    <t>SWITCH 16 PORT 10/100 SMC</t>
  </si>
  <si>
    <t>CABLU ECG/EKG CU 5 DERIVATIIDRAGER/DRAGER-ECG CABLE 5LEADS(IEC, GRAPPER)</t>
  </si>
  <si>
    <t>SET COMPLET CABLURI MONITOR PACIENT, CABLU EKG 5 FIRE, CABLU SPO2 SATURATIE O2, SENZOR TEMPERATURA</t>
  </si>
  <si>
    <t>FURTUN ASPIRATIE</t>
  </si>
  <si>
    <t>SISTEM ASPIRATIE COMPLET TIP VENTURI</t>
  </si>
  <si>
    <t>FILTRU HME TIP TWINSTAR55</t>
  </si>
  <si>
    <t>CIRCUIT VENTILATIE VENT STAR CU CAPCANE APA</t>
  </si>
  <si>
    <t>CARTUS  REZERVA</t>
  </si>
  <si>
    <t>SET RESTERILIZABIL SI REUTILIZABIL COMPUS DIN SENZOR FLUX SI VALVA EXPIR</t>
  </si>
  <si>
    <t>MANSETE MONITOR</t>
  </si>
  <si>
    <t>ADAPTOR FILTRU CU CLAPETA</t>
  </si>
  <si>
    <t>CARTUS PREFILTRARE  10 MICRONI</t>
  </si>
  <si>
    <t>TOTAL ART. 20.01.06 PIESE DE SCHIMB</t>
  </si>
  <si>
    <t>POSTA, TELECOMUNICATII, RADIO, TV SI INTERNET</t>
  </si>
  <si>
    <t>TOTAL ART. 20.01.08 POSTA, TELECOMUNICATII, RADIO, TV SI INTERNET</t>
  </si>
  <si>
    <t>20.01.09</t>
  </si>
  <si>
    <t>MATERIALE SI PRESTARI DE SERVICII CU CARACTER FUNC</t>
  </si>
  <si>
    <t>FOI OBS CL NEUROLOGIE</t>
  </si>
  <si>
    <t>FISA DE EXAMINARE CT</t>
  </si>
  <si>
    <t>FISA DE EXAMINARE RM</t>
  </si>
  <si>
    <t>FOI OBS CL GENERALA</t>
  </si>
  <si>
    <t>FISA DECES</t>
  </si>
  <si>
    <t>REGISTRU CONSULTATII</t>
  </si>
  <si>
    <t>REGISTRU PROTOCOL NECROPSIE</t>
  </si>
  <si>
    <t>PLICURI FARMACIE MIJLOCII</t>
  </si>
  <si>
    <t>FORMULAR DE EXERCITARE A DREPTULUI DE ACCES</t>
  </si>
  <si>
    <t>CERTIFICAT CONSTAT AC MORTI</t>
  </si>
  <si>
    <t>CAR</t>
  </si>
  <si>
    <t>CERERE SCUTIRE NECROPSIE</t>
  </si>
  <si>
    <t>DOSAR INGRIJIRE PACIENT</t>
  </si>
  <si>
    <t>PUNGI HARTIE 7*11</t>
  </si>
  <si>
    <t>PUNGI HARTIE NR 6</t>
  </si>
  <si>
    <t>PUNGI HARTIE 12*5</t>
  </si>
  <si>
    <t>PUNGI HARTIE NR 9</t>
  </si>
  <si>
    <t>PUNGI HARTIE 9*15</t>
  </si>
  <si>
    <t>REGISTRU CONSUM</t>
  </si>
  <si>
    <t>REGISTRU SEROTECA</t>
  </si>
  <si>
    <t>REGISTRU REBUT</t>
  </si>
  <si>
    <t>REGISTRU O</t>
  </si>
  <si>
    <t>REGISTRU EVIDENTA COMENZI</t>
  </si>
  <si>
    <t>REGISTRU AOB-RR</t>
  </si>
  <si>
    <t>CONCEDII MEDICALE</t>
  </si>
  <si>
    <t>PUNGA FARM. S9</t>
  </si>
  <si>
    <t>RETETE MEDICALE</t>
  </si>
  <si>
    <t>ACORDUL PACIENTULUI</t>
  </si>
  <si>
    <t>CERTIFICAT IMBALSAMARE</t>
  </si>
  <si>
    <t>REGISTRU PROTOCOL OPERATOR</t>
  </si>
  <si>
    <t>SARE DEDURIZANTA</t>
  </si>
  <si>
    <t>KG</t>
  </si>
  <si>
    <t>ADAPTOR CASCA ECI</t>
  </si>
  <si>
    <t>CASCA EEG CU 20 ELECTROZI INCORPORATI MARIME 50-54</t>
  </si>
  <si>
    <t>ELECTROD DE IMPAMANTARE REUTILIZABIL</t>
  </si>
  <si>
    <t>CABLU PT AC DCN LUNGIME 150CM-CONECTOR 5 POLI DIN</t>
  </si>
  <si>
    <t>JPO50 FILTRE DIN PTFE REUTILIZABIL</t>
  </si>
  <si>
    <t>luni</t>
  </si>
  <si>
    <t>TOTAL ART. 20.01.09 MATERIALE SI PRESTARI DE SERVICII CU CARACTER FUNCTIONAL</t>
  </si>
  <si>
    <t>ALTE BUNURI SI SERVICII PENTRU INTRETINERE SI FUNCTIONARE</t>
  </si>
  <si>
    <t>TOTAL ART. 20.01.30 ALTE BUNURI SI SERVICII PENTRU INTRETINERE SI FUNCTIONARE</t>
  </si>
  <si>
    <t>20.02</t>
  </si>
  <si>
    <t>REPARATII CURENTE</t>
  </si>
  <si>
    <t>VOPSEA</t>
  </si>
  <si>
    <t>REZERVOR SEMIINALTIME</t>
  </si>
  <si>
    <t>COT COMPRESIUNE</t>
  </si>
  <si>
    <t>RACORD FILET METALIC EXT</t>
  </si>
  <si>
    <t>SARE</t>
  </si>
  <si>
    <t>COLIER</t>
  </si>
  <si>
    <t>TOTAL ART. 20.02 REPARATII CURENTE</t>
  </si>
  <si>
    <t>Hrana pentru oameni</t>
  </si>
  <si>
    <t>TOTAL ART. 20.03.01 Hrana pentru oameni</t>
  </si>
  <si>
    <t>20.04.01</t>
  </si>
  <si>
    <t>MEDICAMENTE</t>
  </si>
  <si>
    <t>TOTAL ART. 20.04.01 MEDICAMENTE</t>
  </si>
  <si>
    <t>20.04.02</t>
  </si>
  <si>
    <t>MATERIALE SANITARE</t>
  </si>
  <si>
    <t>ACE RECOLTAT G18</t>
  </si>
  <si>
    <t>ALCOOL SANITAR 1/2</t>
  </si>
  <si>
    <t>SONDE ASPIRATIE CH 14</t>
  </si>
  <si>
    <t>TESTE GLICEMIE</t>
  </si>
  <si>
    <t>URINARE BARBATI</t>
  </si>
  <si>
    <t>ACE SPINALE ROZ</t>
  </si>
  <si>
    <t>ACE CHIRURGICALE G 5020/11</t>
  </si>
  <si>
    <t>ACE CHIRURGICALE PB 5194/6</t>
  </si>
  <si>
    <t>ACE CHIRURGICALE PB 5194/5</t>
  </si>
  <si>
    <t>ROBINET 3 CAI</t>
  </si>
  <si>
    <t>ACE SPINALE NEGRU</t>
  </si>
  <si>
    <t>CATETER VERTEBRAL 5F</t>
  </si>
  <si>
    <t>FIR 1</t>
  </si>
  <si>
    <t>FIR 2</t>
  </si>
  <si>
    <t>FIR TAIETOR GIGLI</t>
  </si>
  <si>
    <t>CANULA NAZALA DE OXIGEN</t>
  </si>
  <si>
    <t>CATETER VENOS 3 LUMENI</t>
  </si>
  <si>
    <t>MASCA OXIGEN ADULTI</t>
  </si>
  <si>
    <t>BANDAJ ADEZIV TRANSPORE 2,5CM*9,14M</t>
  </si>
  <si>
    <t>PACH</t>
  </si>
  <si>
    <t>BRATARI IDENTIFICARE</t>
  </si>
  <si>
    <t>PLASTURE MATERIAL NETESUT 5 CM</t>
  </si>
  <si>
    <t>TRUSA MICROCHIRURGIE STERILA</t>
  </si>
  <si>
    <t>CASCA PT IGIENIZARE CAPILARA PACIENT CRITIC ATI</t>
  </si>
  <si>
    <t>MASCA OXIGEN CU NEBULIZATOR ADULTI</t>
  </si>
  <si>
    <t>FL</t>
  </si>
  <si>
    <t>SERINGA INJECTOMAT 200 ML MEDTRON CT ACUTRON</t>
  </si>
  <si>
    <t>TUB CONECTOR CT-JOASA PRESIUNE IN I CU SUPAPA</t>
  </si>
  <si>
    <t>FIR PGA 1 L=75CM VIOLET AC ROTUND</t>
  </si>
  <si>
    <t>FIR PGA 2/0 L=75CM VIOLET AC ROTUND</t>
  </si>
  <si>
    <t>FIR PGA 3/0 L=80CM VIOLET AC ROTUND</t>
  </si>
  <si>
    <t>SISTEM ANESTEZIE CU MEMBRANA PERMEABILA</t>
  </si>
  <si>
    <t>DOPURI DE URECHI PERECHI</t>
  </si>
  <si>
    <t>PER</t>
  </si>
  <si>
    <t>APARAT DE RAS GILLETE</t>
  </si>
  <si>
    <t>CREMA DE RAS D AMARIS</t>
  </si>
  <si>
    <t>CALCE SODATA</t>
  </si>
  <si>
    <t>PIPE GUEDEL NR 3</t>
  </si>
  <si>
    <t>CLEME FIXARE CRANIOFIX 11MM</t>
  </si>
  <si>
    <t>CLEME FIXARE CRANIOFIX 16MM</t>
  </si>
  <si>
    <t>ACE SERINGA</t>
  </si>
  <si>
    <t>HUSA STERILA MICROSCOP</t>
  </si>
  <si>
    <t>TAVITA RENALA</t>
  </si>
  <si>
    <t>VATA 200G NARCIS S</t>
  </si>
  <si>
    <t>BANDA ADEZIVA 5CMX5</t>
  </si>
  <si>
    <t>FESI 10/15</t>
  </si>
  <si>
    <t>FESI 10/20</t>
  </si>
  <si>
    <t>TIFON</t>
  </si>
  <si>
    <t>COMPRESE STERILE 10/8</t>
  </si>
  <si>
    <t>APA OXIGENATA</t>
  </si>
  <si>
    <t>GLICERINA BORAXATA</t>
  </si>
  <si>
    <t>RIVANOL</t>
  </si>
  <si>
    <t>COMPRESE NESTERILE 5/5 CM</t>
  </si>
  <si>
    <t>PLIC</t>
  </si>
  <si>
    <t>TRUSA TRANSFUZIE SANGE CU AC PLASTIC REZISTENTA LA PRESIUNE</t>
  </si>
  <si>
    <t>PIPE GUEDEL NR.3</t>
  </si>
  <si>
    <t>UNICIRCUIT VENTILATIE CU MEMBRANA PERM LIMB O</t>
  </si>
  <si>
    <t>SET REANIMARE/RESUSCITARE</t>
  </si>
  <si>
    <t>MANDREN SONDA REUTILIZABIL</t>
  </si>
  <si>
    <t>CANULE TRAHEOSTOMIE CU BALONAS 8</t>
  </si>
  <si>
    <t>DISPOZITIV TRANSFER</t>
  </si>
  <si>
    <t>EXTRA SPIKE PLUS ALBASTRU</t>
  </si>
  <si>
    <t>CANULE NAZALE</t>
  </si>
  <si>
    <t>TRUSA PT ADMINISTRAREA SOLUTIILOR COMPATIBILE CU POMPELE TIP INFUSOMAT</t>
  </si>
  <si>
    <t>KIT CATETER DIALIZA HIGH FLOW DUBLU LUMEN</t>
  </si>
  <si>
    <t>OMNISET CRRT 1,6(KIT EPURARE EXTRACORPOREALA CO2)</t>
  </si>
  <si>
    <t>SONDE ENDOTRAHEALE FLEXOMETALICE NR.7,5</t>
  </si>
  <si>
    <t>CANULA FLUX INALT RESWELL</t>
  </si>
  <si>
    <t>CANULE TRAHEOSTOMIE CU BALONAS NR.7</t>
  </si>
  <si>
    <t>CANULE  TRAHEOSTOMIE CU BALONAS NR.7,5</t>
  </si>
  <si>
    <t>SERINGA DE ASPIRATIE CU MENTINERE A PRESIUNII NEGATIVE</t>
  </si>
  <si>
    <t>TOTAL ART. 20.04.02 MATERIALE SANITARE</t>
  </si>
  <si>
    <t>20.04.03</t>
  </si>
  <si>
    <t>REACTIVI</t>
  </si>
  <si>
    <t>ALCOOL ETILIC ABS</t>
  </si>
  <si>
    <t>ANTI B 10ML</t>
  </si>
  <si>
    <t>KIT</t>
  </si>
  <si>
    <t>ANTI D 10ML</t>
  </si>
  <si>
    <t>FORMOL 38-40%</t>
  </si>
  <si>
    <t>PARAFINA</t>
  </si>
  <si>
    <t>TOLUEN</t>
  </si>
  <si>
    <t>INDICATORI BIOLOGICI PT PEROXID DE HIDROGEN</t>
  </si>
  <si>
    <t>TEST</t>
  </si>
  <si>
    <t>TEST SARS COV2 RAPID(20BUC/CT)</t>
  </si>
  <si>
    <t>COVID-19 ANTIGEN TEST KIT,20 BUC/CUT</t>
  </si>
  <si>
    <t>ANTI A 10ML</t>
  </si>
  <si>
    <t>TESTE COMPATIBILE CU ANALIZORUL FA 160-PROCALCITONINA</t>
  </si>
  <si>
    <t>TESTE COMPATIBILE CU ANALIZORUL FA 160-TROPONINA</t>
  </si>
  <si>
    <t>TESTE COMPATIBILE CU ANALIZORUL FA 160-NT-PROBNP</t>
  </si>
  <si>
    <t>TESTE COMPATIBILE CU ANALIZORUL FA 160-D-DIMER</t>
  </si>
  <si>
    <t>BUN AZOT UREIC SPOTCHEM EZ</t>
  </si>
  <si>
    <t>CRE CREATININA SPOTCHEM EZ</t>
  </si>
  <si>
    <t>CUVETE PT CENTRIFUGA INTERNA SPOTCHEM EZ</t>
  </si>
  <si>
    <t>VARFURI ALBASTRE PT PIPETARE</t>
  </si>
  <si>
    <t>KIT GAZE COMPATIBIL CU ANALIZORUL PRIME</t>
  </si>
  <si>
    <t>TOTAL ART. 20.04.03 REACTIVI</t>
  </si>
  <si>
    <t>20.04.04</t>
  </si>
  <si>
    <t>DEZINFECTANTI</t>
  </si>
  <si>
    <t>COVORASE ANTIMICROBIENE</t>
  </si>
  <si>
    <t>MANISOFT</t>
  </si>
  <si>
    <t>BICLOSOL</t>
  </si>
  <si>
    <t>PIRETROID P</t>
  </si>
  <si>
    <t>CARTUS PEROXID DE HIDROGEN 59%</t>
  </si>
  <si>
    <t>ANIOSPRAY QUICK</t>
  </si>
  <si>
    <t>STERISOL-DEZINFECTANT DE NIVEL INALT GATA DE UTILIZAT-AEROMICROFLORA SI SUPRAF</t>
  </si>
  <si>
    <t>ANIOS OXY FLOOR</t>
  </si>
  <si>
    <t>DERMANIOS SCRUB CLORHEXIDINE 4% 1L</t>
  </si>
  <si>
    <t>ANIOSYME XL3-L</t>
  </si>
  <si>
    <t>ANIOSGEL 800 1 L</t>
  </si>
  <si>
    <t>KLINTENSIV PVP IODINE</t>
  </si>
  <si>
    <t>SURFANIOS PREMIUM 5 L</t>
  </si>
  <si>
    <t>DESOGEN AERO TIP 2</t>
  </si>
  <si>
    <t>DESOGEN AERO TIP 1</t>
  </si>
  <si>
    <t>INDICATOR BIOLOGIC STEAROTERMOPHILIUS FIOLA</t>
  </si>
  <si>
    <t>KLINTENSIV CHDG SOAP 1000 ML</t>
  </si>
  <si>
    <t>TOTAL ART. 20.04.04 DEZINFECTANTI</t>
  </si>
  <si>
    <t>UNIFORME SI ECHIPAMENT</t>
  </si>
  <si>
    <t>TOTAL ART. 20.05.01 UNIFORME SI ECHIPAMENT</t>
  </si>
  <si>
    <t>LENJERIE SI ACCESORII DE PAT</t>
  </si>
  <si>
    <t>TOTAL ART. 20.05.03 LENJERIE SI ACCESORII DE PAT</t>
  </si>
  <si>
    <t>ALTE OBIECTE DE INVENTAR</t>
  </si>
  <si>
    <t>TOTAL ART. 20.05.30 ALTE OBIECTE DE INVENTAR</t>
  </si>
  <si>
    <t>DEPLASARI INTERNE, DETASARI, TRANSFERARI</t>
  </si>
  <si>
    <t>TOTAL ART. 20.06.01 DEPLASARI INTERNE, DETASARI, TRANSFERARI</t>
  </si>
  <si>
    <t>20.09</t>
  </si>
  <si>
    <t>MATERIALE DE LABORATOR</t>
  </si>
  <si>
    <t>BANDA INDICATOR</t>
  </si>
  <si>
    <t>BANDA ABUR 19*50</t>
  </si>
  <si>
    <t>INDICATOR CHIMIC PT. ABUR 134 GRADE</t>
  </si>
  <si>
    <t>GEL EKG</t>
  </si>
  <si>
    <t>TESTE BOWIE DICK - INDOCATOR STERILIZARE ABUR</t>
  </si>
  <si>
    <t>LAMELE 24*50 MM</t>
  </si>
  <si>
    <t>LAME MICROTOM DURA EDGE  PROFIL INGUST (TEFLON)</t>
  </si>
  <si>
    <t>HIRTIE EKG</t>
  </si>
  <si>
    <t>HIRTIE MONITOR</t>
  </si>
  <si>
    <t>ROLA PUNGA STERILIZARE PLATA 150MM*200MM</t>
  </si>
  <si>
    <t>ROLA PUNGA STERILIZARE PLATA 250MM*200M</t>
  </si>
  <si>
    <t>ROLA PUNGA STERILIZARE PLATA 100MM*200MM</t>
  </si>
  <si>
    <t>INDICATOR CHIMIC VH202 PT PLASMA</t>
  </si>
  <si>
    <t>SERAFOL ABO+D CARDURI DUBLE</t>
  </si>
  <si>
    <t>SERAFOL ABO +D OMOGENIZATOAREPG100BUC</t>
  </si>
  <si>
    <t>HIRTIE TERMICA PT STERILIZARE</t>
  </si>
  <si>
    <t>GEL CONDUCTIV NON-SALIN</t>
  </si>
  <si>
    <t>ROLA STERILIZARE CU VOLUM 250*100</t>
  </si>
  <si>
    <t>ROLE STERILIZARE CU PLIU 300*100MM</t>
  </si>
  <si>
    <t>HARTIE EKG CARDIO M PLUS</t>
  </si>
  <si>
    <t>ROLE STERILIZARE PLATE 400MM*200M</t>
  </si>
  <si>
    <t>FILTRU  CASOLETE</t>
  </si>
  <si>
    <t>LAME  MICROTOM</t>
  </si>
  <si>
    <t>SIGILIU UNIVERSAL</t>
  </si>
  <si>
    <t>ROLA STERILIZARE CU PLIU 150MM*40MM</t>
  </si>
  <si>
    <t>ETICHETE CONTAINER CU INDICATOR  ABUR</t>
  </si>
  <si>
    <t>ESTERIO PACHET REST BOWIE DICK</t>
  </si>
  <si>
    <t>LAME NESLEFUITE</t>
  </si>
  <si>
    <t>KIT TESTARE HELIX</t>
  </si>
  <si>
    <t>INDICATOR STERILIZARE BOWIE DICK</t>
  </si>
  <si>
    <t>ETICHETE HIRTIE</t>
  </si>
  <si>
    <t>ROLA HIRTIE TERMICA</t>
  </si>
  <si>
    <t>ESTERIO ETICHETE CONTAINER AUTOADEZIVE</t>
  </si>
  <si>
    <t>ROLE STERILIZARE PLIU 400MM*100M</t>
  </si>
  <si>
    <t>PROTECTIE  INSTRUMENTAR</t>
  </si>
  <si>
    <t>TOTAL ART. 20.09 MATERIALE DE LABORATOR</t>
  </si>
  <si>
    <t>20.30.03</t>
  </si>
  <si>
    <t>PRIME DE ASIGURARE NON-VIATA</t>
  </si>
  <si>
    <t>TOTAL ART. 20.30.03 PRIME DE ASIGURARE NON-VIATA</t>
  </si>
  <si>
    <t>20.30.04</t>
  </si>
  <si>
    <t>CHIRII</t>
  </si>
  <si>
    <t>TOTAL ART. 20.30.04 CHIRII</t>
  </si>
  <si>
    <t>20.13</t>
  </si>
  <si>
    <t>TOTAL ART. 20.13 PREGATIRE PROFESIONALA</t>
  </si>
  <si>
    <t>20.14</t>
  </si>
  <si>
    <t>PROTECTIA MUNCII</t>
  </si>
  <si>
    <t>TOTAL ART. 20.14 PROTECTIA MUNCII</t>
  </si>
  <si>
    <t>71.01.30</t>
  </si>
  <si>
    <t xml:space="preserve">ALTE ACTIVE FIXE </t>
  </si>
  <si>
    <t xml:space="preserve">TOTAL ART. 71.01.30 ALTE ACTIVE FIXE </t>
  </si>
  <si>
    <t>71.01.01</t>
  </si>
  <si>
    <t xml:space="preserve">Mijloace fixe </t>
  </si>
  <si>
    <t xml:space="preserve">TOTAL ART. 71.01.01 Mijloace fixe </t>
  </si>
  <si>
    <t>71.01.02</t>
  </si>
  <si>
    <t>Masini si echipamente medicale</t>
  </si>
  <si>
    <t>TOTAL ART. 70.01.02 Masini si echipamente medicale</t>
  </si>
  <si>
    <t>La care se adauga:</t>
  </si>
  <si>
    <t>Total cheltuieli de capital:</t>
  </si>
  <si>
    <t>31680000-6 - Articole si accesorii electrice (Rev.2)</t>
  </si>
  <si>
    <t>Servicii de certificare a semnaturii electronice</t>
  </si>
  <si>
    <t xml:space="preserve">Prestari servicii GDPR/serv consultanta si securitatea informatiilor </t>
  </si>
  <si>
    <t>Medicamente uz uman divizate pe 28 loturi</t>
  </si>
  <si>
    <t>33198200-6 - Saculete sau plicuri din hartie pentru sterilizare (Rev.2)</t>
  </si>
  <si>
    <t>22993200-9 - Hartie sau carton termosensibile (Rev.2)</t>
  </si>
  <si>
    <t xml:space="preserve"> 33162000-3 - Dispozitive si instrumente pentru blocul operator (Rev.2)</t>
  </si>
  <si>
    <t>HARTIE CARD DELTA PLUS</t>
  </si>
  <si>
    <t>20.30.30</t>
  </si>
  <si>
    <t>ALTE CHELTUIELI</t>
  </si>
  <si>
    <t>TOTAL ART. 20.30.30 ALTE CHELTUIELI</t>
  </si>
  <si>
    <t>DENUMIRE ARTICOL BUGETAR</t>
  </si>
  <si>
    <t>TOTAL FARA TVA</t>
  </si>
  <si>
    <t>TOTAL CU TVA</t>
  </si>
  <si>
    <t>TOTAL 70.01.02 Masini si echipamente medicale cu TVA</t>
  </si>
  <si>
    <t>Diverse piese de schimb</t>
  </si>
  <si>
    <t>Diverse consumabile medicale</t>
  </si>
  <si>
    <t>Diverse medicamente</t>
  </si>
  <si>
    <t>Diverse materiale de laborator</t>
  </si>
  <si>
    <t>33770000-8 Articole de hartie pentru uz sanitar (Rev.2)</t>
  </si>
  <si>
    <t>MATERIALE DE ANGIOGRAFIE</t>
  </si>
  <si>
    <t>Recipiente colectare deseuri</t>
  </si>
  <si>
    <t>33141123-8 Recipiente pentru ace (Rev.2); 19640000-4 Saci si pungi din polietilena pentru deseuri (Rev.2); 44617000-8 Cutii (Rev.2)</t>
  </si>
  <si>
    <t>TOTAL ART. 20.11 CARTI, PUBLICATII SI MATERIALE DOCUMENTARE</t>
  </si>
  <si>
    <t>TOTAL ART. 71.01.01 ACTIVE FIXE CONSTRUCTII  CU TVA</t>
  </si>
  <si>
    <t xml:space="preserve">La care se adauga: active fixe </t>
  </si>
  <si>
    <t>Consumabile medicale pe 2 loturi</t>
  </si>
  <si>
    <t>ACUPAN SOL.INJ.20MG/ML FIOLA X5</t>
  </si>
  <si>
    <t>ALBUMINA UMANA BAXALTA SOL.PERF. 200G/L FLAC. 50 ML - ALBUMINUM HUMANUM</t>
  </si>
  <si>
    <t>Algocalmin 1 g / 2 ml x 5 fiole x 2 ml. sol. inj. / METAMIZOLUM NATRIUM</t>
  </si>
  <si>
    <t>AMIODARONA LPH COMPR. 200MG X 30 - AMIODARONUM</t>
  </si>
  <si>
    <t>AMOXIPLUS 1.2g flacon (AMOXIPLUS 1000MG/200MG) / AMOXICILLINUM+ACIDUM CLAVULANICUM</t>
  </si>
  <si>
    <t>Ampiplus 1000mg/500mg-pulb.pt.sol.inj./perf. x 25fl-Antibiotice RO AMPICILLINUM + SULBACTAM</t>
  </si>
  <si>
    <t>Arixtra 2.5mg/0.5ml-sol. inj. in seringa preump. x 10-Mylan Ire Healthcare Limited IE FONDAPARINUX S</t>
  </si>
  <si>
    <t>ASTONIN H X 50TB (FLUDROCORTISONUM)</t>
  </si>
  <si>
    <t>Azactam 1000mg x 1 flac pulb sol inj x 15 ml / AZTREONAM</t>
  </si>
  <si>
    <t>Betaloc 5mg/5ml sol.inj. x 5 fi.</t>
  </si>
  <si>
    <t>Betaloc ZOK 50mg x 30 compr.film.elib.prel.REC</t>
  </si>
  <si>
    <t>BICARBONAT DE SODIU INFOMED 84 mg/ml/NATRII HYDROGENI CARBONAS</t>
  </si>
  <si>
    <t>BONFLOR FORTE 10 miliarde UFC, + Bonflor Boulardii cps (Saccaromyces Cerevisiae Boulardii, Inulina)</t>
  </si>
  <si>
    <t>BRIVIACT COMPR 50MG X 56 cp</t>
  </si>
  <si>
    <t>Cerebrolysin 215.2mg/ml-sol.inj./conc.pt.sol.perf. x 10ml x 5fi-Ever Neuro Pharma AT HIDROLIZAT DE P</t>
  </si>
  <si>
    <t>Clexane 4000 UI (40 mg) / 0,4 ml x 50 ser. preumpl. x 0,4 ml sol. inj. / ENOXAPARINUM</t>
  </si>
  <si>
    <t>CLORHIDRAT DE DOPAMINA 5mg/ml</t>
  </si>
  <si>
    <t>DICLOFENAC DUO PHARMASWISS 75 mg X 30 CAPS. ELIB. PRE</t>
  </si>
  <si>
    <t>Enap 1.25mg/ml-1ml-sol.inj. x 5-Krka D.D. Novo Mesto SI ENALAPRILUM</t>
  </si>
  <si>
    <t>ENHANCIN 875 mg/125 mg*14</t>
  </si>
  <si>
    <t>FLUIMUCIL 300MG/3ML X 5 FI (ACETYLCYSTEINUM)</t>
  </si>
  <si>
    <t>Fosfomicina 3g-gran.pt.sol.orala x 8g x 1pl</t>
  </si>
  <si>
    <t>HIDROCORTIZON HF 100 MG x 1 - HYDROCORTISONUM</t>
  </si>
  <si>
    <t>Humulin R 100UI/ml sol.inj*1fl*10ml F(INSULINE UMANE)</t>
  </si>
  <si>
    <t>KETOROL 10MG X 20CPR FILM (KETOROLACUM TROMETHAMIN)</t>
  </si>
  <si>
    <t>LERIDIP COMPR.FILM. 10MG X 60 - LERCANIDIPINUM</t>
  </si>
  <si>
    <t>Levetiracetam Terapia 1000mg*30cpr.film(LEVETIRACETAMUM)</t>
  </si>
  <si>
    <t>LIORESAL compr. 10 mg x 50 - BACLOFENUM</t>
  </si>
  <si>
    <t>MEDROL 16 MG X 50 cpr</t>
  </si>
  <si>
    <t>MEGUAN(R) 500mg / METFORMINUM</t>
  </si>
  <si>
    <t>MIDAZOLAM HAMELN 5 mg/ml x 10 ml (DCI: midazolamum)</t>
  </si>
  <si>
    <t>Midazolam Sun 1mg/ml-sol.inj.in ser.preumpl. x 1-Sun Pharmaceutical NL MIDAZOLAMUM</t>
  </si>
  <si>
    <t>MINOZ EP 100MG X 50 CPS</t>
  </si>
  <si>
    <t>Miofilin 24mg/ml-sol.inj.x 5fi-Zentiva RO</t>
  </si>
  <si>
    <t>Miostin 0.5 mg/ml-sol.inj x 1ml x 5fi - Zentiva RO NEOSTIGMINI METILSULFAS</t>
  </si>
  <si>
    <t>NIMOTOP COMPR.FILM. 30MG X 100 - NIMODIPINUM</t>
  </si>
  <si>
    <t>Nitronal 1mg/ml x 10ml, cutie x 10fiole</t>
  </si>
  <si>
    <t>NORADRENALINA KABI 1mg/ml</t>
  </si>
  <si>
    <t>OXACILINA 1000 mg inj. ATB / OXACILLINUM</t>
  </si>
  <si>
    <t>RISPOLEPT 1 mg/ml sol.orala X 30 ml</t>
  </si>
  <si>
    <t>SEVO-ANESTERAN LICHID PENTRU VAPORI DE INHALAT</t>
  </si>
  <si>
    <t>SULFADIAZINUM Regen-Ag crema 50g vs Dermazin vs Cicatrol</t>
  </si>
  <si>
    <t>Tavanic 250mg x 7cpr film</t>
  </si>
  <si>
    <t>TEMELOR 4MG/ML SOL. INJ.X 5FIOLE (LORAZEPAM)</t>
  </si>
  <si>
    <t>Tiapridal 100mg 2bls x 10cpr - Tiapridum</t>
  </si>
  <si>
    <t>VANCOMICINA ATB 500 mg/VANCOMYCINUM</t>
  </si>
  <si>
    <t>33631600-8 - Antiseptice si dezinfectante (Rev.2)</t>
  </si>
  <si>
    <t>33621400-3 - Substituenti de plasma sanguina si solutii pentru perfuzii (Rev.2)</t>
  </si>
  <si>
    <t>33612000-3 - Medicamente impotriva tulburarilor gastrointestinale functionale (Rev.2)</t>
  </si>
  <si>
    <t>33622100-7 - Medicamente utilizate in cardiologie (Rev.2)</t>
  </si>
  <si>
    <t>33661000-1 - Medicamente pentru sistemul nervos (Rev.2)</t>
  </si>
  <si>
    <t>Reactivi de laborator</t>
  </si>
  <si>
    <t>SARMA GIGLI</t>
  </si>
  <si>
    <t>CEARA OS</t>
  </si>
  <si>
    <t>FIR ACID POLIGLICOLIC</t>
  </si>
  <si>
    <t>33141641-5 Sonde (Rev.2)</t>
  </si>
  <si>
    <t>BANDAJE</t>
  </si>
  <si>
    <t>VATA</t>
  </si>
  <si>
    <t>COMPRESE</t>
  </si>
  <si>
    <t>CATETERE</t>
  </si>
  <si>
    <t>CANULE</t>
  </si>
  <si>
    <t>SONDE</t>
  </si>
  <si>
    <t>ACCESORII DE DRENAJ</t>
  </si>
  <si>
    <t>MASCA DE OXIGEN</t>
  </si>
  <si>
    <t>CONSUMABILE PENTRU DIALIZA RENALA</t>
  </si>
  <si>
    <t>PIESE SI ACCESORII PENTRU PROTEZE AUDITIVE</t>
  </si>
  <si>
    <t>ATA PENTRU AUTOPSIE</t>
  </si>
  <si>
    <t>ACE PENTRU AUTOPSIE</t>
  </si>
  <si>
    <t xml:space="preserve">Imunoglobulina umana </t>
  </si>
  <si>
    <t xml:space="preserve"> 33651520-9 - Imunoglobuline (Rev.2)</t>
  </si>
  <si>
    <t>CINCIU STEFAN</t>
  </si>
  <si>
    <t>Medicamente uz uman divizate pe 79 loturi</t>
  </si>
  <si>
    <t xml:space="preserve">Echipamente protectie </t>
  </si>
  <si>
    <t>Materiale de laborator</t>
  </si>
  <si>
    <t>20.09 Materiale de laborator cu TVA</t>
  </si>
  <si>
    <t>TOTAL 20.09 Materiale de laborator</t>
  </si>
  <si>
    <t>Materiale sanitare 3 loturi (clisme, echip pacient critic,)</t>
  </si>
  <si>
    <t>Echipamente protectie personal medical</t>
  </si>
  <si>
    <t>Materiale sanitare 7 loturi (sonde, tavite, sarma gigli, ace chirurgicale, covorase antimicrobiene, ceara)</t>
  </si>
  <si>
    <t>Servicii de reparare si de intretinere a echipamentului medical YSIO</t>
  </si>
  <si>
    <t>Servicii de reparare si de intretinere a echipamentului medical PACS</t>
  </si>
  <si>
    <t>Prestari servicii de chirurgie toracica</t>
  </si>
  <si>
    <t>79212200-5 - Servicii de auditare interna (Rev.2)</t>
  </si>
  <si>
    <t>SERVICII CONTROL FINANCIAR PREVENTIV</t>
  </si>
  <si>
    <t>SERVICII DE CONSULTANA IN DOMENIUL CALITATII SERVICIILOR MEDICALE SI AUDIT CLINIC</t>
  </si>
  <si>
    <t>ORGANIZAREA STRUCTURII DE MANAGEMANT AL CALITATII SERVICIILOR MEDICALE</t>
  </si>
  <si>
    <t>79419000-4 - Servicii de consultanta in domeniul evaluarii (Rev.2)</t>
  </si>
  <si>
    <t xml:space="preserve">ECHIPAMENTE MEDICALE </t>
  </si>
  <si>
    <t>Art. Bug.</t>
  </si>
  <si>
    <t>Nume art. bug.</t>
  </si>
  <si>
    <t>Cod CPV</t>
  </si>
  <si>
    <t>Denumire produs</t>
  </si>
  <si>
    <t>Cantitate</t>
  </si>
  <si>
    <t>Pret unitar fara TVA</t>
  </si>
  <si>
    <t>Pret unitar fara TVA majorat cu 15%</t>
  </si>
  <si>
    <t>Valoare fara TVA</t>
  </si>
  <si>
    <t>Valoare cu TVA</t>
  </si>
  <si>
    <t>30192700-8</t>
  </si>
  <si>
    <t>22800000-8</t>
  </si>
  <si>
    <t>44424200-0</t>
  </si>
  <si>
    <t>30197210-1</t>
  </si>
  <si>
    <t>30197110-0</t>
  </si>
  <si>
    <t>30192113-6</t>
  </si>
  <si>
    <t>CARTUS EPSON STYLUS PP 100 C13S020447</t>
  </si>
  <si>
    <t>30234300-1</t>
  </si>
  <si>
    <t>30192920-6</t>
  </si>
  <si>
    <t>22852000-7</t>
  </si>
  <si>
    <t>30197642-8</t>
  </si>
  <si>
    <t>30192125-3</t>
  </si>
  <si>
    <t>PLIC  RADIOLOGIE</t>
  </si>
  <si>
    <t>PLICURI ANGIOGRAF</t>
  </si>
  <si>
    <t>42512510-6</t>
  </si>
  <si>
    <t>REGISTRU 100 FILE</t>
  </si>
  <si>
    <t>30125100-2</t>
  </si>
  <si>
    <t>RIBON PENTRU IMPRIMANTA MASINA DE SIGILAT HAWO</t>
  </si>
  <si>
    <t>19436000-1</t>
  </si>
  <si>
    <t>30192111-2</t>
  </si>
  <si>
    <t>TOTAL ART. BUG. 20.01.01</t>
  </si>
  <si>
    <t>39831200-8</t>
  </si>
  <si>
    <t>39831240-0</t>
  </si>
  <si>
    <t>39830000-9</t>
  </si>
  <si>
    <t>39224320-7</t>
  </si>
  <si>
    <t>44613800-8</t>
  </si>
  <si>
    <t>CUTII PP 3.2 L (RECIPIENTE)</t>
  </si>
  <si>
    <t>DETERGENT GEAMURI</t>
  </si>
  <si>
    <t>DETERGENT NEODISHER  SEPTOCLEAN</t>
  </si>
  <si>
    <t>DETERGENT SUPRAFETE ANTI-CALCAR CU PULVERIZATOR</t>
  </si>
  <si>
    <t>33761000-2</t>
  </si>
  <si>
    <t>39224100-9</t>
  </si>
  <si>
    <t>33141123-8</t>
  </si>
  <si>
    <t>RECIPIENT CAPACITATE 7.5 LITRI</t>
  </si>
  <si>
    <t>33760000-5</t>
  </si>
  <si>
    <t>19640000-4</t>
  </si>
  <si>
    <t>33922000-9</t>
  </si>
  <si>
    <t>39222100-5</t>
  </si>
  <si>
    <t>TOTAL ART. BUG. 20.01.02</t>
  </si>
  <si>
    <t>31434000-7</t>
  </si>
  <si>
    <t>ACUMULATOR AUTO 95</t>
  </si>
  <si>
    <t>31440000-2</t>
  </si>
  <si>
    <t>31531000-7</t>
  </si>
  <si>
    <t>31521000-4</t>
  </si>
  <si>
    <t>LAMPA LED APLICATA DE TAVAN</t>
  </si>
  <si>
    <t>LAMPA LED URGENTA EXIT</t>
  </si>
  <si>
    <t>LAMPA SMD APLICATA</t>
  </si>
  <si>
    <t>31532100-5</t>
  </si>
  <si>
    <t>TUB LED SMD 20 W</t>
  </si>
  <si>
    <t>TOTAL ART. BUG. 20.01.03</t>
  </si>
  <si>
    <t>09134200-9</t>
  </si>
  <si>
    <t>09100000-0</t>
  </si>
  <si>
    <t>TOTAL ART. BUG. 20.01.05</t>
  </si>
  <si>
    <t>34913000-0</t>
  </si>
  <si>
    <t>FILTRU FARA AUTOCLAVARE PT LAVOARE</t>
  </si>
  <si>
    <t>FREZA 14 MM</t>
  </si>
  <si>
    <t>33157700-2</t>
  </si>
  <si>
    <t>SENZOR SPO 2 NIHON KOHDEN</t>
  </si>
  <si>
    <t>35125100-7</t>
  </si>
  <si>
    <t>SET CARTUSE PREFILTRARE APA LAVOAR (FILTRE20.5.1 MICRON)</t>
  </si>
  <si>
    <t>SET TRIPLU PREFILTRARE APA LAVOAR</t>
  </si>
  <si>
    <t>44321000-6</t>
  </si>
  <si>
    <t>CABLU EKG CU 3 COND NIHON KOHDEN</t>
  </si>
  <si>
    <t>33190000-8</t>
  </si>
  <si>
    <t>42912310-8</t>
  </si>
  <si>
    <t>FILTRE CENTRALE TRATARE AER CFLG3 592*592*22</t>
  </si>
  <si>
    <t>SENZOR SO2 MONITOR SHILLER</t>
  </si>
  <si>
    <t>SET COMPLET MONITORIZARE PACIENT PENTRU MONITOR SCHILLER</t>
  </si>
  <si>
    <t>SET DE FURTUNE ESANTIONARE</t>
  </si>
  <si>
    <t>SISTEM  PREFILTRARE</t>
  </si>
  <si>
    <t>TOTAL ART. BUG. 20.01.06</t>
  </si>
  <si>
    <t>22000000-0</t>
  </si>
  <si>
    <t>33140000-3</t>
  </si>
  <si>
    <t>BILET TRIMITERE RADIOLOGIE</t>
  </si>
  <si>
    <t>BON CERERE TRANSFUZII</t>
  </si>
  <si>
    <t>CABLU SENZOR SPO2/BM 3030 R COMPLETE SENZOR FOR SIMENS</t>
  </si>
  <si>
    <t>CAPSULA MICROFILTRANTA CU FILTRU DUBLU APA STERILA</t>
  </si>
  <si>
    <t>CARTUS  CERNEALA</t>
  </si>
  <si>
    <t>CASCA EEG TIP 52-56CM</t>
  </si>
  <si>
    <t>CASCA EEG TIP ECI 54-58CM</t>
  </si>
  <si>
    <t>CERERE PROGRAMARE EXAMEN ULTRASONIC</t>
  </si>
  <si>
    <t>CERTIFICAT DE CONCEDIU MEDICAL</t>
  </si>
  <si>
    <t>COT BLOC PACIENT</t>
  </si>
  <si>
    <t>ELECTROD DE DEGET TIP CLIP CU CABLURI IMPLETITE DE LUNGIME 61 CM</t>
  </si>
  <si>
    <t>ELECTROZI DISC DIAM10MM</t>
  </si>
  <si>
    <t>FISA DECONT MAT. SANITARE</t>
  </si>
  <si>
    <t>FISA MONITORIZARE PACIENT TRANSFUZAT</t>
  </si>
  <si>
    <t>FISA TRATAMENT ATI</t>
  </si>
  <si>
    <t>FORMULAR TRIMITERE EEG</t>
  </si>
  <si>
    <t>FORMULAR TRIMITERE EMG</t>
  </si>
  <si>
    <t>FREZA 9 MM</t>
  </si>
  <si>
    <t>LAMA LARINGOSCOP</t>
  </si>
  <si>
    <t>30199230-1</t>
  </si>
  <si>
    <t>PLICURI  FARMACIE 9X16</t>
  </si>
  <si>
    <t>PROCES VERBAL DE ELIBERARE CERTIFICAT CONSTATATOR DECES</t>
  </si>
  <si>
    <t>PUNGA FARM. S5</t>
  </si>
  <si>
    <t>PUNGI HIRTIE 15/25</t>
  </si>
  <si>
    <t>PUNGI HIRTIE 7/13</t>
  </si>
  <si>
    <t>PUNGI HIRTIE 9/16</t>
  </si>
  <si>
    <t>RAPORT EXAMINARE ULTRASONICA</t>
  </si>
  <si>
    <t>22458000-5</t>
  </si>
  <si>
    <t>30192320-0</t>
  </si>
  <si>
    <t>RIBON</t>
  </si>
  <si>
    <t>15872400-5</t>
  </si>
  <si>
    <t>SOLICITARE EXAMEN CARDIO</t>
  </si>
  <si>
    <t>31682530-4</t>
  </si>
  <si>
    <t>SURSA ALIMENTARE SEGOTEP 500W</t>
  </si>
  <si>
    <t>TOTAL ART. BUG. 20.01.09</t>
  </si>
  <si>
    <t>44423000-1</t>
  </si>
  <si>
    <t>BATERIE MONOBLOC BAIE</t>
  </si>
  <si>
    <t>BROASCA TERMOPAN</t>
  </si>
  <si>
    <t>BUTUC</t>
  </si>
  <si>
    <t>CILINDRU SIGURANTA ANTIDRILING</t>
  </si>
  <si>
    <t>DIBLURI</t>
  </si>
  <si>
    <t>DILUANT</t>
  </si>
  <si>
    <t>LAVOAR 550</t>
  </si>
  <si>
    <t>MOMENT FIX EXTERIOR</t>
  </si>
  <si>
    <t>MOMENT PROFI FIX</t>
  </si>
  <si>
    <t>RACORD ELASTIC EVACUARE CU VENTIL</t>
  </si>
  <si>
    <t>44167100-9</t>
  </si>
  <si>
    <t>RACORD WC 110 MM</t>
  </si>
  <si>
    <t>RAMA WC</t>
  </si>
  <si>
    <t>SET FIXARE VAS WC</t>
  </si>
  <si>
    <t>SILICON SANITAR</t>
  </si>
  <si>
    <t>VAS WC</t>
  </si>
  <si>
    <t>44810000-1</t>
  </si>
  <si>
    <t>WC MONDIAL</t>
  </si>
  <si>
    <t>TOTAL ART. BUG 20.02</t>
  </si>
  <si>
    <t>INTRATECT 100 G/L ( 5 GRAME )</t>
  </si>
  <si>
    <t>INTRATECT 50G/200ML</t>
  </si>
  <si>
    <t>INTRATECT50G/100ML</t>
  </si>
  <si>
    <t>KIOVIG 100MG/ML ( 5G)</t>
  </si>
  <si>
    <t>PANZYGA 100MG/ML X200ML ( 20G)</t>
  </si>
  <si>
    <t>MEDICAMENTE FARMACIE</t>
  </si>
  <si>
    <t>MEDICAMENTE PROGRAM ATI BS</t>
  </si>
  <si>
    <t/>
  </si>
  <si>
    <t>ACTILYSE 50MG SOL.INJ</t>
  </si>
  <si>
    <t>CEREBROLYSIN 10ML</t>
  </si>
  <si>
    <t>FIOLA</t>
  </si>
  <si>
    <t>CEREBROLYSIN215,2MG/ML</t>
  </si>
  <si>
    <t>KABIVEN 2053</t>
  </si>
  <si>
    <t>PUNGA</t>
  </si>
  <si>
    <t>KABIVEN PERIPHERAL</t>
  </si>
  <si>
    <t>MEDICAMENTE STUPEFIANTE</t>
  </si>
  <si>
    <t>MEDICAMENTE SUPLIMENTE</t>
  </si>
  <si>
    <t>OXIGEN MEDICINAL</t>
  </si>
  <si>
    <t>MC</t>
  </si>
  <si>
    <t>PROTOXID</t>
  </si>
  <si>
    <t>TOTAL ART. BUG. 20.04.01</t>
  </si>
  <si>
    <t>24316000-2</t>
  </si>
  <si>
    <t>33141119-7</t>
  </si>
  <si>
    <t>COMPRESE 40/40</t>
  </si>
  <si>
    <t>33141114-2</t>
  </si>
  <si>
    <t>FESI 10/10</t>
  </si>
  <si>
    <t>24964000-9</t>
  </si>
  <si>
    <t>33631600-8</t>
  </si>
  <si>
    <t>33692400-1</t>
  </si>
  <si>
    <t>SER FIZIOLOGIC 1 L</t>
  </si>
  <si>
    <t>33141115-9</t>
  </si>
  <si>
    <t>33141320-9</t>
  </si>
  <si>
    <t>AC EMG 37MM DIAM,26G-1 CUT=25 BUC</t>
  </si>
  <si>
    <t>AC EMG DCF25LUNG,25MM DIAM,30G-1 CUT=25 BUC</t>
  </si>
  <si>
    <t>AC EMG LUNG 37MMX0.46MM-1 CUT=25 BUC</t>
  </si>
  <si>
    <t>33141128-3</t>
  </si>
  <si>
    <t>ACE CHIRURGICALE G10</t>
  </si>
  <si>
    <t>ACE CHIRURGICALE G9F</t>
  </si>
  <si>
    <t>ACE IV G18</t>
  </si>
  <si>
    <t>33141327-8</t>
  </si>
  <si>
    <t>ACE PENTRU RAHIANESTEZIE CU BIZOU TIP QUINCKE</t>
  </si>
  <si>
    <t>ACE S AUTOPSIE 5.25 PAKX12</t>
  </si>
  <si>
    <t>18143000-3</t>
  </si>
  <si>
    <t>ACOPERITORI INCALTAMINTE</t>
  </si>
  <si>
    <t>33141120-7</t>
  </si>
  <si>
    <t>AGRAFE MICHEL 20X3MM</t>
  </si>
  <si>
    <t>AGRAFE MICHELL 18*3MM</t>
  </si>
  <si>
    <t>24322510-5</t>
  </si>
  <si>
    <t>ALCOOL ETILIC RAF 96 GRADE</t>
  </si>
  <si>
    <t>24322500-2</t>
  </si>
  <si>
    <t>33711800-5</t>
  </si>
  <si>
    <t>33914100-1</t>
  </si>
  <si>
    <t>ATA CHIRURGICALA AUTOPSIE - FIR DE SUTURA CHIRURGICAL 650M</t>
  </si>
  <si>
    <t>33141113-4</t>
  </si>
  <si>
    <t>BONETE CU ELASTIC UNICA FOLOSINTA</t>
  </si>
  <si>
    <t>33141200-2</t>
  </si>
  <si>
    <t>BRANULE CU VALVA G22</t>
  </si>
  <si>
    <t>22455100-5</t>
  </si>
  <si>
    <t>CABLU BIPOLAR 5/2 MM</t>
  </si>
  <si>
    <t>24213000-0</t>
  </si>
  <si>
    <t>33141220-8</t>
  </si>
  <si>
    <t>CANULE TRAHEOSTOMIE NR 7.5</t>
  </si>
  <si>
    <t>CANULE TRAHEOSTOMIE NR 8</t>
  </si>
  <si>
    <t>33111710-1</t>
  </si>
  <si>
    <t>CATETER DE DIAGNOSTIC</t>
  </si>
  <si>
    <t>CATETER NEURO DIAGNOSTIC</t>
  </si>
  <si>
    <t>CATETER VENTRICULAR IMPLANTABIL</t>
  </si>
  <si>
    <t>03142400-2</t>
  </si>
  <si>
    <t>CEARA HEMOSTATICA</t>
  </si>
  <si>
    <t>33141122-1</t>
  </si>
  <si>
    <t>33184100-4</t>
  </si>
  <si>
    <t>CLIP ANEVRISM FT700K</t>
  </si>
  <si>
    <t>CLIP ANEVRISM FT710K</t>
  </si>
  <si>
    <t>CLIP ANEVRISM FT720K</t>
  </si>
  <si>
    <t>CLIP ANEVRISM FT722K</t>
  </si>
  <si>
    <t>CLIP ANEVRISM FT726K</t>
  </si>
  <si>
    <t>CLIP ANEVRISM FT752K</t>
  </si>
  <si>
    <t>CLIP ANEVRISM FT760K</t>
  </si>
  <si>
    <t>CLIP ANEVRISM FT762K</t>
  </si>
  <si>
    <t>CLIP YASARGIL FT750K</t>
  </si>
  <si>
    <t>33613000-0</t>
  </si>
  <si>
    <t>CLISMALAX X 133 ML</t>
  </si>
  <si>
    <t>33169000-2</t>
  </si>
  <si>
    <t>CONDUCATOR DE MARTEL FLEXIBIL FF130R</t>
  </si>
  <si>
    <t>33711810-8</t>
  </si>
  <si>
    <t>DEMARTEL CONF/WIRE SAWSFLEX 350MM</t>
  </si>
  <si>
    <t>33185100-1</t>
  </si>
  <si>
    <t>31711140-6</t>
  </si>
  <si>
    <t>ELECTROZI MONOUZ EKG</t>
  </si>
  <si>
    <t>19442000-6</t>
  </si>
  <si>
    <t>GHID CU ACOPERIRE POLIMERICA HIDROFILICA</t>
  </si>
  <si>
    <t>35113410-6</t>
  </si>
  <si>
    <t>HALAT CHIRURGICAL STERIL RANFORSAT</t>
  </si>
  <si>
    <t>HALATE VIZITATORI</t>
  </si>
  <si>
    <t>33141127-6</t>
  </si>
  <si>
    <t>HEMOSTATIC RESORBABIL 5X35</t>
  </si>
  <si>
    <t>HEMOSTATIC RESORBABIL 5X7 CM</t>
  </si>
  <si>
    <t>30194900-4</t>
  </si>
  <si>
    <t>33141000-0</t>
  </si>
  <si>
    <t>KIT DIAGNOSTIC NEURO-INTERVENTIONAL ( CATETER + TEACA + GHID)</t>
  </si>
  <si>
    <t>33700000-7</t>
  </si>
  <si>
    <t>KIT IGIENA ORALA PACIENT IMOBILIZAT</t>
  </si>
  <si>
    <t>42113172-0</t>
  </si>
  <si>
    <t>LAME BISTURIU NR.22</t>
  </si>
  <si>
    <t>33141420-0</t>
  </si>
  <si>
    <t>MANUSI CHIRURGICALE</t>
  </si>
  <si>
    <t>MANUSI CHIRURGICALE TRILAMINATE NR.7,5</t>
  </si>
  <si>
    <t>MANUSI CHIRURGICALE TRILAMINATE NR.8.5</t>
  </si>
  <si>
    <t>18424300-0</t>
  </si>
  <si>
    <t>MANUSI EXAMINARE</t>
  </si>
  <si>
    <t>33157110-9</t>
  </si>
  <si>
    <t>MASTI UNICA FOLOSINTA CU LEGATURI/ELASTIC</t>
  </si>
  <si>
    <t>PATURA INCALZIRE ADULT</t>
  </si>
  <si>
    <t>PIJAMA UNICA FOLOSINTA</t>
  </si>
  <si>
    <t>33157000-5</t>
  </si>
  <si>
    <t>33141112-8</t>
  </si>
  <si>
    <t>33141615-4</t>
  </si>
  <si>
    <t>PUNGA URINARA CU VALVA ANTIREFLUX</t>
  </si>
  <si>
    <t>RAMPA CU 3 ROBINETI</t>
  </si>
  <si>
    <t>33141500-5</t>
  </si>
  <si>
    <t>REZERVOR VACUM 660ML</t>
  </si>
  <si>
    <t>33770000-8</t>
  </si>
  <si>
    <t>ROLE CEARCEAF 2 STRAT HARTIE</t>
  </si>
  <si>
    <t>33141310-6</t>
  </si>
  <si>
    <t>SERINGA 10 ML</t>
  </si>
  <si>
    <t>SERINGA 2 ML</t>
  </si>
  <si>
    <t>SERINGA 20 ML CU AC</t>
  </si>
  <si>
    <t>SERINGI 5 ML</t>
  </si>
  <si>
    <t>SERINGI 50ML BD</t>
  </si>
  <si>
    <t>SERINGI INSULINA 40U</t>
  </si>
  <si>
    <t>SET CANULA ASPIROGENA CH24</t>
  </si>
  <si>
    <t>SET CENTURI IMOBILIZARE (MAINI SI GLEZNA)</t>
  </si>
  <si>
    <t>SET CLISMA UF</t>
  </si>
  <si>
    <t>SET INTRODUCATOR FEMURAL AVANTI SI AC DE PUNCTIE</t>
  </si>
  <si>
    <t>33171200-1</t>
  </si>
  <si>
    <t>33692800-5</t>
  </si>
  <si>
    <t>SOLUTIE HEMOFILTRARE</t>
  </si>
  <si>
    <t>33141641-5</t>
  </si>
  <si>
    <t>SONDE ENDOTRAHEALE 7,5 MM</t>
  </si>
  <si>
    <t>SONDE ENDOTRAHEALE 7MM</t>
  </si>
  <si>
    <t>SONDE ENDOTRAHEALE 8 MM</t>
  </si>
  <si>
    <t>SONDE ENDOTRAHEALE 8,5 MM</t>
  </si>
  <si>
    <t>SONDE FOLEY CH 14</t>
  </si>
  <si>
    <t>SONDE FOLEY CH 16</t>
  </si>
  <si>
    <t>SONDE FOLEY CH 18</t>
  </si>
  <si>
    <t>SONDE FOLEY CH 20</t>
  </si>
  <si>
    <t>SONDE GASTRICE CH 16</t>
  </si>
  <si>
    <t>SONDE GASTRICE CH 18</t>
  </si>
  <si>
    <t>SORT PROTECTIE POLIPROPILENA</t>
  </si>
  <si>
    <t>33181500-7</t>
  </si>
  <si>
    <t>TEACA INTRODUCATOARE ACCES FEMURAL+AC PUNCTIE</t>
  </si>
  <si>
    <t>33124131-2</t>
  </si>
  <si>
    <t>33194000-6</t>
  </si>
  <si>
    <t>TRUSA PERFUZIE SOL MEDICAMENTOASE CU AC PLASTIC</t>
  </si>
  <si>
    <t>33194100-7</t>
  </si>
  <si>
    <t>TRUSA TRANSFUZIE SANGE CU AC PLASTIC REZINSTENTA LA PRESIUNE</t>
  </si>
  <si>
    <t>TUB CONECTOR I SPIRALAT - INJECTOMAT CT CU VALVA PENTRU SUBSTANTA CONTRAST - 150 CM</t>
  </si>
  <si>
    <t>TUB DREN CU LINIE RADIOOPACA</t>
  </si>
  <si>
    <t>TUB PRELUNGITOR PT  INJECTOMAT</t>
  </si>
  <si>
    <t>TUBULATURA IRIGATIE/SUCTIUNE PT SONOPET</t>
  </si>
  <si>
    <t>BONETE UF</t>
  </si>
  <si>
    <t xml:space="preserve">BRANULE CU VALVA </t>
  </si>
  <si>
    <t>CATETER VENOS CU 3 LUMENI</t>
  </si>
  <si>
    <t>CLISMALAX X 133ML</t>
  </si>
  <si>
    <t>MANUSI CHIRURGICALE TRILAMINATE NR. 7,5</t>
  </si>
  <si>
    <t>18424000-7</t>
  </si>
  <si>
    <t>MASCA ANESTEZIE CU MANSON GONFLABIL REUTILIZABILA</t>
  </si>
  <si>
    <t>MASCA OXIGEN</t>
  </si>
  <si>
    <t>MASCA OXIGEN NEBULIZATOR</t>
  </si>
  <si>
    <t>MASTI UF</t>
  </si>
  <si>
    <t>PIPE GUEDEL NR.4</t>
  </si>
  <si>
    <t>PLASTURE PE SUPORT DE MATERIAL NETESUT AUTOADEZIV</t>
  </si>
  <si>
    <t>PUNGA URINA CU VALVA</t>
  </si>
  <si>
    <t>33194120-3</t>
  </si>
  <si>
    <t>RAMPA CU 3 ROBINETI CU 3 CAI</t>
  </si>
  <si>
    <t>SERINGA 20 ML</t>
  </si>
  <si>
    <t>SERINGA 5 ML</t>
  </si>
  <si>
    <t>SERINGA 50ML</t>
  </si>
  <si>
    <t>SERINGA INSULINA 1 ML</t>
  </si>
  <si>
    <t>SET CLISMA</t>
  </si>
  <si>
    <t>33170000-2</t>
  </si>
  <si>
    <t>SONDE ALIMENTATIE CH 16</t>
  </si>
  <si>
    <t>SONDE ALIMENTATIE CH 18</t>
  </si>
  <si>
    <t>SONDE ENDOTRAHEALE FLEXOMETALICE NR.7</t>
  </si>
  <si>
    <t>SONDE ENDOTRAHEALE NR.7</t>
  </si>
  <si>
    <t>SONDE ENDOTRAHEALE NR.7,5</t>
  </si>
  <si>
    <t>SONDE ENDOTRAHEALE NR.8</t>
  </si>
  <si>
    <t>SONDE ENDOTRAHEALE FLEXOMETALICE NR.8</t>
  </si>
  <si>
    <t>SONDE FOLEY CH 22</t>
  </si>
  <si>
    <t>SORTURI PROTECTIE UNICA FOLOSINTA</t>
  </si>
  <si>
    <t>STERILE BICARBONAT SOLUTION 2MMOL/L POTASSIUM</t>
  </si>
  <si>
    <t>TRUSA PERFUZIE SOLUTII MEDICAMENTOASE CU AC PLASTIC REZINSTENT LA PRESIUNE</t>
  </si>
  <si>
    <t>TUBURI PRELUNGITOARE INJECTOMATE</t>
  </si>
  <si>
    <t xml:space="preserve">33141000-0 </t>
  </si>
  <si>
    <t>BALON ANGIOPLASTIE CAROTIDE</t>
  </si>
  <si>
    <t>CATETER  DE  DIAGNOSTIC</t>
  </si>
  <si>
    <t>CATETER DIAGNOSTIC HIDROFIL</t>
  </si>
  <si>
    <t>CATETER GHID INTERMEDIAR PT ABORD TRIAXIAL IN PATOLOGIA ANEVRISMALA</t>
  </si>
  <si>
    <t>CATETER GHID INTERMEDIAR PT ABORD TRIAXIAL IN TROMBECTOMII LOT 542529</t>
  </si>
  <si>
    <t>DISPOZITIVE DE INCHIDERE PERCUTANATA A ORIFICIULUI DE PUNCTIE</t>
  </si>
  <si>
    <t>GHID CU ACOPERIRE POLIMETRICA HIDROFILICA</t>
  </si>
  <si>
    <t>GHIDURI DIAGNOSTICE HIDROFILE PERIFERIE</t>
  </si>
  <si>
    <t>KIT DIAGNOSTIC NEURO-INTERVENTONAL ( CATETER+TEACA+GHID )</t>
  </si>
  <si>
    <t>MICROCATETER LIVRARE STENT LOT 24720844</t>
  </si>
  <si>
    <t>MICROCATETERE LIVRARE COILS DE PLATINA M0031681910 LOT 245493373</t>
  </si>
  <si>
    <t>MICROGHID HIDROFIL PENTRU UZ INTRACRANIAN CU RASUCIRE MAXIM SSTD215STR LOT 0566757</t>
  </si>
  <si>
    <t>MICROGHID HIDROFIL PT UZ INTRACRANIAN CU RASUCIRE MAX LOT 0572112</t>
  </si>
  <si>
    <t>PACHET STERIL ANGIOGRAFIE</t>
  </si>
  <si>
    <t>POMPA CU MONOMETRU PT ANGIOPLASTIE</t>
  </si>
  <si>
    <t>SET VERTEBROPLASTIE CU CIMENT CU VASCOZITATE MEDIE</t>
  </si>
  <si>
    <t>SET VERTEBROPLASTIE CU CIMENT CU VASCOZITATE MEDIE ( VERTEBRO MV )</t>
  </si>
  <si>
    <t>SISTEM DE  GHIDAJ NEUROVASCULAR FORMAT DIN CATETER PORTOR 5-6FR SI CATETER INTERN 4-5FR</t>
  </si>
  <si>
    <t>SPIRALE EMBOLIZARE CEREBRALA DIN PLATINA LOT 24705804</t>
  </si>
  <si>
    <t>STENT CAROTIDIAN AUTOEXPANDABIL CU CELULA INCHISA</t>
  </si>
  <si>
    <t>STENTURI CEREBRALE TAIATE CU LASER LOT 24694263</t>
  </si>
  <si>
    <t>STENTURI CEREBRALE TAIATE CU LASER LOT 24874127</t>
  </si>
  <si>
    <t>TEACA  INTROCUCTOARE  ACCES  FEMURAL + AC  PUNCTIE</t>
  </si>
  <si>
    <t>TEACA INTRODUCTOARE ACCES FEMURAL +CA DE PUNCTIE</t>
  </si>
  <si>
    <t>VALVA HEMOSTATICA IN Y</t>
  </si>
  <si>
    <t>33111730-7</t>
  </si>
  <si>
    <t>BALOANE DE UZ CEREBRAL MONOLUMEN</t>
  </si>
  <si>
    <t>CAROTID  WALLSTENT  MONORAIL ( STENT CAROTIDIAN )</t>
  </si>
  <si>
    <t>CATETER  ACCES  DISTAL</t>
  </si>
  <si>
    <t>CATETER  DE  DIAGNOSTIC  HIDROFIL</t>
  </si>
  <si>
    <t>CATETER PORTOR PENTRU PROCEDURI ENDOVASCULARE</t>
  </si>
  <si>
    <t>CATETERE GHID INTERMEDIARE PENTRU ABORD TRIAXIAL IN PATOLOGIA ANEVRISMALA</t>
  </si>
  <si>
    <t>DISPOZITIV TROMBECTOMIE CU DIMENSIUNI SI FORTA RADIALA VARIABILA</t>
  </si>
  <si>
    <t>DISPOZITIVE DE INCHIDERE PERCUTANATA A OFICIULUI DE PUNCTIE</t>
  </si>
  <si>
    <t>GATEWAI  PLUS  10PK</t>
  </si>
  <si>
    <t>GHID CU ACOPERIRE POLIMERICA</t>
  </si>
  <si>
    <t>GHID CU ACOPERIRE POLIMERICA HIDROFILA</t>
  </si>
  <si>
    <t>GHID DIAGNOSTIC HIDROFIL 182 CM CU VARF SCURT DREPT</t>
  </si>
  <si>
    <t>KIT DIAGNOSTIC NEURO-INTERVENTIONAL(CATETER+TEACA+GHID)</t>
  </si>
  <si>
    <t>MICROCATETER CU VARF DETASABIL</t>
  </si>
  <si>
    <t>MICROCATETER LIVRARE COILS DE PLATINA M0031681890 LOT:24549402</t>
  </si>
  <si>
    <t>MICROCATETERE LIVRARE STENT/MICROCATETERE LIVRARE DISPOZITIV</t>
  </si>
  <si>
    <t>MICROGHID HIDROFIL PT. UZ INTRACRANIAN CU RASUCIRE MAXIM SSUP215STR</t>
  </si>
  <si>
    <t>MICROGHIDURI HIDROFILE PT. UZ INTRACRANIAN FOL.IN NAVIGAREA CU MICROCATETERE FLUXODEPENDENTE</t>
  </si>
  <si>
    <t>PACHET STERIL ANGIOGRAIE</t>
  </si>
  <si>
    <t>SISTEM DE GHIDAJ NEUROVASCULAR FORMAT DIN CATETER PORTOR 5-6FR SI CATETER INTERN 4-5FR</t>
  </si>
  <si>
    <t>SOLUTII  LICHIDE PT EMBOLIZARI CEREBRALE</t>
  </si>
  <si>
    <t>SPIRALE EMBOLIZARE CEREBRALA DIN PLATINA  LOT: 24812730</t>
  </si>
  <si>
    <t>STENTURI CEREBRALE TAIATE CU LASER</t>
  </si>
  <si>
    <t>TEACA CATETER PENTRU UZ NEUROVASCULAR</t>
  </si>
  <si>
    <t>TEACA INTRODUCTOARE ACCES FEMURAL + CA DE PUNCTIE</t>
  </si>
  <si>
    <t>TECI CATETER PENTRU UZ NEUROVASCULAR</t>
  </si>
  <si>
    <t>PANSAMENT  HIDROCOLOID 10*10</t>
  </si>
  <si>
    <t>33751000-9</t>
  </si>
  <si>
    <t>SCUTECE ADULTI EXTRA LARGE</t>
  </si>
  <si>
    <t>SCUTECE ADULTI LARGE</t>
  </si>
  <si>
    <t>SCUTECE ADULTI MEDIUM</t>
  </si>
  <si>
    <t>TRUSA PENTRU ADMINISTRAREA SOLUTIILOR COMPATIBILE CU POMPELE TIP INFUZOMAT</t>
  </si>
  <si>
    <t>TOTAL ART. BUG. 20.04.02</t>
  </si>
  <si>
    <t>33696500-0</t>
  </si>
  <si>
    <t>33696300-8</t>
  </si>
  <si>
    <t>33696000-5</t>
  </si>
  <si>
    <t>KIT HEMATOLOGIE 3 DIF 600 CICLURI</t>
  </si>
  <si>
    <t>KIT HEMATOLOGIE MEDONIC M51</t>
  </si>
  <si>
    <t>KIT REACTIVI HEMATOLOGIE MEDONIC M51</t>
  </si>
  <si>
    <t>PLUS ARTERIAL</t>
  </si>
  <si>
    <t>TEST RAPID CU ANTIGEN SARS-COV2</t>
  </si>
  <si>
    <t>TEST RAPID PT DETECTIA CALITATIVA A ANTICORPILOR IGG SI IGM IMPOTRIVA TULPINII COV 19</t>
  </si>
  <si>
    <t>TOTAL ART. BUG. 20.04.03</t>
  </si>
  <si>
    <t>24455000-8</t>
  </si>
  <si>
    <t>ANIOSPRAY 29 1L</t>
  </si>
  <si>
    <t>24311900-6</t>
  </si>
  <si>
    <t>24315300-8</t>
  </si>
  <si>
    <t>CASETE STERILIZARE STERILIZATOR V-PRO MAX</t>
  </si>
  <si>
    <t>42924720-2</t>
  </si>
  <si>
    <t>33741300-9</t>
  </si>
  <si>
    <t>DEZINFECTANT DE NIVEL INALT STERISOL</t>
  </si>
  <si>
    <t>33691000-0</t>
  </si>
  <si>
    <t>TOTAL ART. BUG. 20.04.04</t>
  </si>
  <si>
    <t>20.05.01</t>
  </si>
  <si>
    <t>33199000-1</t>
  </si>
  <si>
    <t>COMPLEU PANTALONI+BLUZA BLOC OP</t>
  </si>
  <si>
    <t>HALATE OPERATIE</t>
  </si>
  <si>
    <t>SABOTI PIELE</t>
  </si>
  <si>
    <t>TOTAL ART. BUG. 20.05.01</t>
  </si>
  <si>
    <t>20.05.03</t>
  </si>
  <si>
    <t>39518200-8</t>
  </si>
  <si>
    <t>CAMPURI OPERATIE MICI</t>
  </si>
  <si>
    <t>CAMPURI PENTRU SALA DE OPERATIE CU ORIFICIU</t>
  </si>
  <si>
    <t>39516120-9</t>
  </si>
  <si>
    <t>PERNA</t>
  </si>
  <si>
    <t>39143112-4</t>
  </si>
  <si>
    <t>SALTELE</t>
  </si>
  <si>
    <t>TOTAL ART. BUG. 20.05.03</t>
  </si>
  <si>
    <t>20.05.30</t>
  </si>
  <si>
    <t>39712100-7</t>
  </si>
  <si>
    <t>APARAT MASINA DE TUNS</t>
  </si>
  <si>
    <t>39113600-3</t>
  </si>
  <si>
    <t>BANCUTA EMB502 GRI</t>
  </si>
  <si>
    <t>BANCUTA EMB503 GRI</t>
  </si>
  <si>
    <t>BANCUTA EMB504 GRI</t>
  </si>
  <si>
    <t>39150000-8</t>
  </si>
  <si>
    <t>BIROU CU ACCES TASTATURA SI UNITITATE</t>
  </si>
  <si>
    <t>30213300-8</t>
  </si>
  <si>
    <t>CALCULATOR DESKTOP COMPUTECH INTEL I5-10400 CU MONITOR</t>
  </si>
  <si>
    <t>CALCULATOR DESKTOP COMPUTECH INTEL I5-12400</t>
  </si>
  <si>
    <t>CALCULATOR DESKTOP COMPUTECH MICROSOFT WINDOWS 10</t>
  </si>
  <si>
    <t>39151000-5</t>
  </si>
  <si>
    <t>CANAPEA EXTENSIBILA 3 LOCURI</t>
  </si>
  <si>
    <t>CITITOR DE CARDURI DE SANATATE OMNIKEY 3821</t>
  </si>
  <si>
    <t>39224340-3</t>
  </si>
  <si>
    <t>30195800-0</t>
  </si>
  <si>
    <t>CUIER/BANC PANTOFI</t>
  </si>
  <si>
    <t>39711130-9</t>
  </si>
  <si>
    <t>FRIGIDER CU 2 USI 212L</t>
  </si>
  <si>
    <t>FRIGIDER CU DOUA USI HEINNER 206L</t>
  </si>
  <si>
    <t>30232110-8</t>
  </si>
  <si>
    <t>IMPRIMANTA BROTHER HL-L5000D,LASER MONOCROM</t>
  </si>
  <si>
    <t>IMPRIMANTA LASER XEROX WORKCENTRE 3220</t>
  </si>
  <si>
    <t>39717200-3</t>
  </si>
  <si>
    <t>INSTALATIE CLIMATIZARE</t>
  </si>
  <si>
    <t>30213100-6</t>
  </si>
  <si>
    <t>LAPTOP ASUS X552L</t>
  </si>
  <si>
    <t>33162000-3</t>
  </si>
  <si>
    <t>39121000-6</t>
  </si>
  <si>
    <t>MASA PLIANTA + ROTILE</t>
  </si>
  <si>
    <t>PUBELE</t>
  </si>
  <si>
    <t>39152000-2</t>
  </si>
  <si>
    <t>RAFTURI METALICE</t>
  </si>
  <si>
    <t>39112000-0</t>
  </si>
  <si>
    <t>SCAUN BIROU CU BRATE</t>
  </si>
  <si>
    <t>SCAUNE</t>
  </si>
  <si>
    <t>39221000-7</t>
  </si>
  <si>
    <t>SET BUCATARIE</t>
  </si>
  <si>
    <t>39831300-9</t>
  </si>
  <si>
    <t>SET CURATENIE PROFESIONAL</t>
  </si>
  <si>
    <t>44613400-4</t>
  </si>
  <si>
    <t>TOMBEROANE PENTRU RECICLARE DESEURI 50 L</t>
  </si>
  <si>
    <t>39330000-4</t>
  </si>
  <si>
    <t>VANA DEZINFECTANT 30 L</t>
  </si>
  <si>
    <t>VANA DEZINFECTIE 10 L</t>
  </si>
  <si>
    <t>39113000-7</t>
  </si>
  <si>
    <t>CARUCIOR/SCAUN WC CU ROTI</t>
  </si>
  <si>
    <t>SCAUN WC DE CAMERA 4 IN 1</t>
  </si>
  <si>
    <t>33141642-2</t>
  </si>
  <si>
    <t>SISTEM DE COMPRESIE INTERMITENTA PENTRU TERAPIA PICIORULUI</t>
  </si>
  <si>
    <t>TOTAL ART. BUG. 20.05.30</t>
  </si>
  <si>
    <t>33198200-6</t>
  </si>
  <si>
    <t>GEL EEG TIP ECI</t>
  </si>
  <si>
    <t>30197630-1</t>
  </si>
  <si>
    <t>HARTIE A 4 BENEHEART</t>
  </si>
  <si>
    <t>22990000-6</t>
  </si>
  <si>
    <t>HARTIE TERMICA 110MM*20M</t>
  </si>
  <si>
    <t>33793000-5</t>
  </si>
  <si>
    <t>LAME MICROSCOP 24X50MM</t>
  </si>
  <si>
    <t>PASTA ABRAZIVA TIP ABRALYT</t>
  </si>
  <si>
    <t>38437000-7</t>
  </si>
  <si>
    <t>PIPETE PLASTIC 3ML</t>
  </si>
  <si>
    <t>ROLA STERILIZARE  PLATA 200MM*200M</t>
  </si>
  <si>
    <t>ROLA STERILIZARE CU PLASMA 250*100M TIP TYVEK</t>
  </si>
  <si>
    <t>ROLE PT STERILIZARE 100MM*100M</t>
  </si>
  <si>
    <t>33124130-5</t>
  </si>
  <si>
    <t>TOTAL ART. BUG 20.09</t>
  </si>
  <si>
    <t>15511000-3</t>
  </si>
  <si>
    <t>LAPTE PRAF</t>
  </si>
  <si>
    <t>TOTAL ART. BUG 20.14</t>
  </si>
  <si>
    <t>TOTAL ART. BUG.</t>
  </si>
  <si>
    <t>65300000-6</t>
  </si>
  <si>
    <t>luna</t>
  </si>
  <si>
    <t>Plicuri farmacie</t>
  </si>
  <si>
    <t>anual</t>
  </si>
  <si>
    <t>TOTAL ART.  20.11 CARTI, PUBLICATII SI MATERIALE DOCUMENTARE CU TVA</t>
  </si>
  <si>
    <t>Total cheltuieli de capital cu TVA</t>
  </si>
  <si>
    <t>ECHIPAMENTE MEDICALE (Microscop meurochirurgical, microscop, dulapuri, aparate anestezie, RMN, Angiograf biplan, aparate ventilatie, masa autopsie mobila pentru imbracarea decedatilor)</t>
  </si>
  <si>
    <t>PRET UNITAR FARA TVA majorat cu 15% fata de anul 2024</t>
  </si>
  <si>
    <t>VALOARE TOTALA cu TVA</t>
  </si>
  <si>
    <t>Servicii de colectare, transport si eliminare a deseurilor medicale periculoase si nepericuloase</t>
  </si>
  <si>
    <t>Servicii de colectare, transport si eliminare medicamente de la populatie</t>
  </si>
  <si>
    <t>90520000-8 - Servicii privind deseurile radioactive, toxice, medicale si periculoase (Rev.2)</t>
  </si>
  <si>
    <t>Consumabile medicale (Materiale bloc operator, Lame bisturiu, Plasturi, Masti oxigen, Catetere poliuretan)</t>
  </si>
  <si>
    <t>Sisteme de management ale cailor respiratorii (sonde, truse, etc)</t>
  </si>
  <si>
    <t>ZAVICEFTA 2g/0.5g</t>
  </si>
  <si>
    <t>33631400-6 - Antibiotice si medicamente chimioterapeutice de uz dermatologic (Rev.2)</t>
  </si>
  <si>
    <t>Lift pentru scari</t>
  </si>
  <si>
    <t>44115600-5 - Lifturi de trepte (Rev.2)</t>
  </si>
  <si>
    <t>Licenta Bitdefender</t>
  </si>
  <si>
    <t>Antibacterieni de uz sistemic</t>
  </si>
  <si>
    <t>Medicamente uz uman divizate pe 10 loturi</t>
  </si>
  <si>
    <t>Acord - cadru de furnizare medicamente uz uman divizate pe 21 loturi</t>
  </si>
  <si>
    <t>Acord - cadru de furnizare medicamente uz uman divizate pe 49 loturi</t>
  </si>
  <si>
    <t>Solutii pentru perfuzii</t>
  </si>
  <si>
    <t>33692400-1 - Solutii pentru perfuzii (Rev.2)</t>
  </si>
  <si>
    <t>Comprese, fesi, tifon, leucoplast, vata</t>
  </si>
  <si>
    <t>Algocalmin 1g/2ml-sol.inj. x 2ml x 5fi-Zentiva RO</t>
  </si>
  <si>
    <t>ALLE gel tub x 50g (heparina+diclofenac)</t>
  </si>
  <si>
    <t>33622400-0 - Vasoprotectoare (Rev.2)</t>
  </si>
  <si>
    <t>AMIODARONA HAMELN 50 mg/ml (150mg/3ml) - generic amiokordin</t>
  </si>
  <si>
    <t>ARDEAELYTOSOL CONC. NATRIUMHYDROGENKARBONÁT 8,4%</t>
  </si>
  <si>
    <t>Ascord 20mg-cpr. film. x 30-Terapia RO</t>
  </si>
  <si>
    <t>ASPACARDIN 39MG/12MG*30CPR TERAPIA</t>
  </si>
  <si>
    <t>33617000-8 - Suplimente minerale (Rev.2)</t>
  </si>
  <si>
    <t>Aspenter 75mg-cpr.gastrorez. x 28-Terapia RO ACIDUM ACETYLSALICYLICUM</t>
  </si>
  <si>
    <t>33622200-8 - Antihipertensive (Rev.2)</t>
  </si>
  <si>
    <t>Brilique 90mg*56cpr.film(TICAGRELOR)_184748992_#RX</t>
  </si>
  <si>
    <t>BRIVIACT 10 MG/ML SOL INJ/PERF CT*10 FL*5 ML</t>
  </si>
  <si>
    <t>Captopril Terapia 25mg-cpr. x 30-Terapia RO CAPTOPRILUM</t>
  </si>
  <si>
    <t>33622800-4 - Medicamente pentru sistemul renin-angiotensin (Rev.2)</t>
  </si>
  <si>
    <t>Carbamazepina Slavia 200 mg x50 cp / CARBAMAZEPINUM</t>
  </si>
  <si>
    <t>CEFTRIAXONUM 1G / SEFTRION pulb sol inj/perf x 1G (CEFTRIAXONUM) EIPICO</t>
  </si>
  <si>
    <t>CENOMAR 5 mg/ml, 100 ml sol perf - LEVOFLOXACINUM</t>
  </si>
  <si>
    <t>CEREBROLYSIN 215.2mg/ml 10 ml X 5 fiole</t>
  </si>
  <si>
    <t>CIPRINOL 100MG/10ML 5FI X 10ML (CIPROFLOXACINUM)</t>
  </si>
  <si>
    <t>CLONOTRIL 2 mg</t>
  </si>
  <si>
    <t>CLORURA DE POTASIU 7,45%, flacon sticla 100 ml REF 3642506</t>
  </si>
  <si>
    <t>CLORURA DE SODIU 0,9% 500ml</t>
  </si>
  <si>
    <t>CLORURA DE SODIU 0,9% 250ML 2TUB CONECT CT X 30PG</t>
  </si>
  <si>
    <t>33670000-7 - Medicamente pentru sistemul respirator (Rev.2)</t>
  </si>
  <si>
    <t>CLORURA DE SODIU 0,9%, flacon PE (Ecoflac Plus) 1000 ml cu dublu port de administrare 3642527</t>
  </si>
  <si>
    <t>24312120-1 - Cloruri (Rev.2)</t>
  </si>
  <si>
    <t>Davia 5 mg-cpr. film. x 30-Terapia RO DONEPEZILUM</t>
  </si>
  <si>
    <t>33661600-7 - Psihoanaleptice (Rev.2)</t>
  </si>
  <si>
    <t>DEXAMETAZONA ROMPHARM 4mg/1ml sol.inj. X 10 fiole DEXAMETHASONUM</t>
  </si>
  <si>
    <t>Dexketoprofen 50mg/2ml-sol.inj. x 5fiole-Rompharm Company RO DEXKETOPROFENUM</t>
  </si>
  <si>
    <t>Diazepam 10mg-cpr. x 30-Terapia RO DIAZEPAMUM</t>
  </si>
  <si>
    <t>Diazepam 5mg/ml-sol.inj. x 2ml x 5fi-Terapia RO DIAZEPAMUM</t>
  </si>
  <si>
    <t>DICLOFENACUM / DICLOTARD 100mg cpr</t>
  </si>
  <si>
    <t>Diurex 50mg/20 mg-cps. x 20-Terapia RO COMBINATII (SPIRONOLACTONUM+FUROSEMIDUM)</t>
  </si>
  <si>
    <t>33622300-9 - Diuretice (Rev.2)</t>
  </si>
  <si>
    <t>Elomen 1000mg/300mg sol.perf x 10fl x 100ml - COMBINATII (PARACETAMOLUM+IBUPROFENUM)</t>
  </si>
  <si>
    <t>Enhancin 875mg/125mg-cpr.film. x 14-Terapia ( AMOXICILLINUM + ACIDUM CLAVULANICUM )</t>
  </si>
  <si>
    <t>FENITOINA RICHTER 100 mg X 30 compr.</t>
  </si>
  <si>
    <t>Fenobarbital 100mg -cpr. x 25 -Zentiva RO PHENOBARBITALUM</t>
  </si>
  <si>
    <t>FERINJECT 50MG/ML 10ML*1FL</t>
  </si>
  <si>
    <t>33621300-2 - Preparate impotriva anemiei (Rev.2)</t>
  </si>
  <si>
    <t>Fetcroja 1g pulb.conc.sol.perf*10fl F_CEFIDEROCOLUM_1g_#RX</t>
  </si>
  <si>
    <t>FLUCONAZOL INFOMED 2mg/ml 100 ml</t>
  </si>
  <si>
    <t>FLAGYL 250MG*20 COMPR. FILM. SANOFI ROMANIA</t>
  </si>
  <si>
    <t>33691100-1 - Antiprotozoare (Rev.2)</t>
  </si>
  <si>
    <t>GASTROFAIT 1G (SUCRALFATUM) CUTx20cpr EIPICO</t>
  </si>
  <si>
    <t>33611000-6 - Medicamente impotriva tulburarilor provocate de hiperaciditate (Rev.2)</t>
  </si>
  <si>
    <t>GELOFUSINE 4%, flacon PE (Ecoflac Plus) 500 ml cu dublu port de administrare FE95513</t>
  </si>
  <si>
    <t>33692510-5 - Lichide intravenoase (Rev.2)</t>
  </si>
  <si>
    <t>GLUCOZA STADA HEMOFARM 50 mg/ml</t>
  </si>
  <si>
    <t>GLUCOSUM / GLUCOZA (100mg/ml) 10% 500 ML Cutie x 20 pungi din PVC plastifiat x 1 tub conector latera</t>
  </si>
  <si>
    <t>Hepiflor Saccharomyces Boulardii-cps. x 10-Terapia RO SACCHAROMYCES BOULARDII</t>
  </si>
  <si>
    <t>33614000-7 - Antidiareice, antiinflamatoare si antiinfectioase intestinale (Rev.2)</t>
  </si>
  <si>
    <t>Hydrocortisone Na Succin100mg x 1fl+solv / Hidro / Hydro / HYDROCORTISONUM</t>
  </si>
  <si>
    <t>IMIPENEM/ CILASTATIN ATB 500MG/500MG*10FL/(IMIPENEMUM + CILASTATINUM)</t>
  </si>
  <si>
    <t>IODINA 10% (POVIDONUM IODINATUM 10%) x1000ml</t>
  </si>
  <si>
    <t>IOMERON 300 1FL X 100ML (IOMEPROLUM)</t>
  </si>
  <si>
    <t>KABIVEN PERIPHERAL 1440ml</t>
  </si>
  <si>
    <t>33692200-9 - Produse pentru nutritie parenterala (Rev.2)</t>
  </si>
  <si>
    <t>Lactecon 667g/L-sol.orala x 200ml-Viatris Healthcare Limited IE LACTULOSUM</t>
  </si>
  <si>
    <t>33613000-0 - Laxative (Rev.2)</t>
  </si>
  <si>
    <t>Ketorol 10mg*20cpr.film(KETOROLACUM TROMETHAMIN)_6478_#RX</t>
  </si>
  <si>
    <t>Lecigon 20mg/5mg/20mg/ml gel intestinal*7cart*47ml F(COMBINA?II (LEVODOPUM + CARBIDOPUM + ENTACAPONU</t>
  </si>
  <si>
    <t>33661400-5 - Medicamente impotriva bolii Parkinson (Rev.2)</t>
  </si>
  <si>
    <t>Lamotrix 50mg-cpr. x 30-Medochemie CY</t>
  </si>
  <si>
    <t>LERIDIP 10 mg X 60 compr.film.</t>
  </si>
  <si>
    <t>Levalox 5mg/ml-sol.perf. x 100ml-Krka D.D.Novo Mesto SI LEVOFLOXACINUM</t>
  </si>
  <si>
    <t>Levetiracetam Sun 100mg/ml-conc.pt.sol.perf. x 5ml x 10-Sun Pharm (TERAPIA) LEVETIRACETAMUM</t>
  </si>
  <si>
    <t>33632200-1 - Miorelaxanti (Rev.2)</t>
  </si>
  <si>
    <t>LORNOXICAM ROMPHARM 8 mg X 10 PULB+SOLV. PT. SOL. INJ 8mg (LORNOXICAMUM)</t>
  </si>
  <si>
    <t>Mabron 100 mg/2 ml-sol. inj. x 5-Medochemie CY TRAMADOLUM</t>
  </si>
  <si>
    <t>MANITOL 20% SOL.PERF.PVC 500ML 1 CONECTOR X 20 PUNGI</t>
  </si>
  <si>
    <t>Medrol A 16mg-cpr. x 50-Pfizer Europe MA EEIG BE METHYLPREDNISOLONUM</t>
  </si>
  <si>
    <t>Medsamic 100mg/ml*10f*5ml ANS (ACIDUM TRANEXAMICUM)_1495152_#RX</t>
  </si>
  <si>
    <t>MESTINON 60 mg cut x 1 flac. x 20 draj.</t>
  </si>
  <si>
    <t>33661700-8 - Alte medicamente pentru sistemul nervos (Rev.2)</t>
  </si>
  <si>
    <t>METALYSE 5000ui pulb + solv</t>
  </si>
  <si>
    <t>METAMIZOL KALCEKS 500 mg/ml/METAMIZOLUM NATRIUM</t>
  </si>
  <si>
    <t>METRONIDAZOL 500 mg, flacon polietilena 100 ml 3642539</t>
  </si>
  <si>
    <t>MINOZ EP 100MG X 50 CPS (MINOCYCLINUM)</t>
  </si>
  <si>
    <t>MYDOCALM 150 MG X 30 CPR.</t>
  </si>
  <si>
    <t>NIMOTOP 10 MG/50 ML SOL PERF AMBALAJ MULTIPLU CU 5 CT*1 FL*50 ML</t>
  </si>
  <si>
    <t>33622700-3 - Blocanti de calciu (Rev.2)</t>
  </si>
  <si>
    <t>NIMOTOP 30 MG CT*100 COMPR FILM</t>
  </si>
  <si>
    <t>OMNIPAQUE 350MG I/ML 10 FL X 100ML SOL INJ (IOHEXOLUM)</t>
  </si>
  <si>
    <t>OSELTAMIVIRUM TAMIFLU 75 mgx 1 blister PVC/PE/PVDC/Al x 10 capsule</t>
  </si>
  <si>
    <t>33651400-2 - Antivirale pentru uz sistemic (Rev.2)</t>
  </si>
  <si>
    <t>OSETRON 8MG SOL INJ 2MG/ML 5 FIOLE X 4 ML</t>
  </si>
  <si>
    <t>Pantoprazol Sun 40 mg-pulb.pt.sol.inj. x 1-Sun Pharmaceutical Industries Europe NL PANTOPRAZOLUM</t>
  </si>
  <si>
    <t>QUETIAPINA TEVA 50MG X 60CP ELIB PREL (QUETIAPINUM)</t>
  </si>
  <si>
    <t>Pentoxi retard 400mg-cpr.elib.prel. x 40-Terapia PENTOXIFYLLINUM</t>
  </si>
  <si>
    <t>REFEN RETARD 100 mg X 20 compr.film DICLOFENACUM</t>
  </si>
  <si>
    <t>Ringer-500ml- sol.perf. x 10 -Hemofarm</t>
  </si>
  <si>
    <t>Rixathon 500mg-conc.pt.sol.perf. x 50ml x 1-Sandoz AT RITUXIMABUM</t>
  </si>
  <si>
    <t>33652100-6 - Antineoplazice (Rev.2)</t>
  </si>
  <si>
    <t>Seftrion 1 g x 1 flac. x 15 ml pulb. pentru sol. inj./perf / CEFTRIAXONUM (similar CEFORT)</t>
  </si>
  <si>
    <t>Ser Fiziologic 1 L PERFUZABIL Clorura de Sodiu</t>
  </si>
  <si>
    <t>Sevo-Anesteran lichid pt.vapori de inh*1fl*250ml(SEVOFLURANUM)_185132272_#RX</t>
  </si>
  <si>
    <t>Solutie Ringer sol perf 500 ml x 10 flac</t>
  </si>
  <si>
    <t>Sorbifer durules 100mg+60mg x 120 compr.film.</t>
  </si>
  <si>
    <t>STEROFUNDIN ISO EP 500ML RO Cod 3642561</t>
  </si>
  <si>
    <t>33692000-7 - Solutii medicamentoase (Rev.2)</t>
  </si>
  <si>
    <t>Tador 25mg-cpr.film. x 10-Menarini International Operations LU DEXKETOPROFENUM</t>
  </si>
  <si>
    <t>Tamiflu 75mg*10cps HRF_OSELTAMIVIRUM</t>
  </si>
  <si>
    <t>TANDESAR 16 mg X 28 COMPR.</t>
  </si>
  <si>
    <t>Tandesar 8mg-cpr. x 28-Terapia RO</t>
  </si>
  <si>
    <t>Tandesar 32mg-cpr. x 28-Terapia RO</t>
  </si>
  <si>
    <t>TARUZA 1 mg X 30 COMPR. 1mg ZENTIVA, K.S. (W68950002) \ CUTIE CU BLIST. OPA-AL-PVC/AL X 30 COMPR.</t>
  </si>
  <si>
    <t>Tersal 40mg-cps. x 30-Sun Pharmaceutical Industries Europe NL</t>
  </si>
  <si>
    <t>TOBRADEX 3MG/1MG/ML PIC OFT FL*5ML NOVARTIS GMBH</t>
  </si>
  <si>
    <t>33662100-9 - Medicamente pentru oftalmologie (Rev.2)</t>
  </si>
  <si>
    <t>Tramadol 50mg-cps. x 20-Krka D.D. Novo Mesto SI TRAMADOLUM</t>
  </si>
  <si>
    <t>Trittico AC 150mg*3blist*20cpr.elib.prel(TRAZODONUM)_184843890_#RX</t>
  </si>
  <si>
    <t>Trombostop 2mg-cpr. x 30-Terapia RO ACENOCUMAROLUM</t>
  </si>
  <si>
    <t>VENTOLIN 100 INHALER CFC-FREE 100MCG/DOZA FL*200DOZE</t>
  </si>
  <si>
    <t>33673000-8 - Medicamente impotriva maladiilor obstructive ale cailor respiratorii (Rev.2)</t>
  </si>
  <si>
    <t>VITAMINA B12 1000 MCG/ML X 5FI ZENTIVA (CYANOCOBALAMINUM)</t>
  </si>
  <si>
    <t>Wasedoc 110mg-cps. x 30-Terapia RO - DABIGATRANUM ETEXILATUM</t>
  </si>
  <si>
    <t>Wasedoc 150mg-cps. x 60-Terapia RO - DABIGATRANUM ETEXILATUM</t>
  </si>
  <si>
    <t>Ac concentric dispozabil</t>
  </si>
  <si>
    <t>33141320-9 - Ace medicale (Rev.2)</t>
  </si>
  <si>
    <t>Accesorii pentru angioplastie</t>
  </si>
  <si>
    <t>33111730-7 - Accesorii pentru angioplastie (Rev.2)</t>
  </si>
  <si>
    <t>ALCOOL SANITAR 70% 500 ml AVIZ BIOCID</t>
  </si>
  <si>
    <t>24322500-2 - Alcool (Rev.2)</t>
  </si>
  <si>
    <t>Banda adeziva Transpore pentru prindere electrozi EMG, transparenta, latime 2,5cm x 9.1m</t>
  </si>
  <si>
    <t>33141111-1 - Bandaje adezive (Rev.2)</t>
  </si>
  <si>
    <t>Bratari identificare pacienti (ADULTI) - rola</t>
  </si>
  <si>
    <t>22455100-5 - Bratara de identitate (Rev.2)</t>
  </si>
  <si>
    <t>Burete/ bureti chirurgicali/ Periute chirurgicale impregnate cu clorhexidina 4% si sapun aseptic</t>
  </si>
  <si>
    <t>33000000-0 - Echipamente medicale, produse farmaceutice si produse de ingrijire personala (Rev.2)</t>
  </si>
  <si>
    <t>Calce sodata clic 1.2 litri MX50004</t>
  </si>
  <si>
    <t>24213000-0 - Oxid de calciu hidratat (Rev.2)</t>
  </si>
  <si>
    <t>Canule nazale cu doua cai pt oxigen/Narine</t>
  </si>
  <si>
    <t>Canule rectale</t>
  </si>
  <si>
    <t>Casca pentru igienizare capilara pacient critic ATI</t>
  </si>
  <si>
    <t>Cateter acces distal</t>
  </si>
  <si>
    <t>cateter venos central 3 lumeni ( triplu lumen ) ( set )</t>
  </si>
  <si>
    <t>Ceara de oase, BONE WAX plic 2.5 gr pentru sutura chirurgicala a oaselor Certif CE, cutie x12</t>
  </si>
  <si>
    <t>03142400-2 - Ceara (Rev.2)</t>
  </si>
  <si>
    <t>Centura imobilizare</t>
  </si>
  <si>
    <t>35121300-1 - Accesorii de siguranta (Rev.2)</t>
  </si>
  <si>
    <t>CLIP YASARGIL TITAN PERMANENT, STANDARD, DREPT, 7MM FT740T AEI</t>
  </si>
  <si>
    <t>33141122-1 - Cleme chirurgicale (Rev.2)</t>
  </si>
  <si>
    <t>Clismalax</t>
  </si>
  <si>
    <t>CONSUMABILE DE UZ RENAL</t>
  </si>
  <si>
    <t>33181500-7 - Consumabile de uz renal (Rev.2)</t>
  </si>
  <si>
    <t>fesi</t>
  </si>
  <si>
    <t>Fir sutura multifilament normal resorbabil Acid poliglicolic</t>
  </si>
  <si>
    <t>19441000-9 - Fire sintetice (Rev.2)</t>
  </si>
  <si>
    <t>Gel EKG &amp; EEG 260 ml</t>
  </si>
  <si>
    <t>GHIDURI WORKHORSE 0.014</t>
  </si>
  <si>
    <t>Huse sterile microscop nr 26</t>
  </si>
  <si>
    <t>Kit complet igiena orala pacient critic</t>
  </si>
  <si>
    <t>Lame bisturiu Otel-Carbon nr 22</t>
  </si>
  <si>
    <t>33141411-4 - Scalpele si lame (Rev.2)</t>
  </si>
  <si>
    <t>Leucoplast matase 5/5</t>
  </si>
  <si>
    <t>Masca anestezie/ventilatie de silicon, reutilizabila</t>
  </si>
  <si>
    <t>33171110-3 - Masca de anesteziere-reanimare (Rev.2)</t>
  </si>
  <si>
    <t>Matase, Silk, TRUSILK® -fir sintetic neres.din matase, fara ac, bobina 25 m, autoclavabila</t>
  </si>
  <si>
    <t>Panza fierastrau Gigli 50 cm - otel inoxidabil</t>
  </si>
  <si>
    <t>19212300-8 - Panza (Rev.2)</t>
  </si>
  <si>
    <t>Plasture in rola pe suport de material netesut, 5 cm x 10 m</t>
  </si>
  <si>
    <t>33141112-8 - Plasturi (Rev.2)</t>
  </si>
  <si>
    <t>Poliester fir neresorbabil, Fire Trubond®, calitate exceptionala 1 fir/plic, fara ac 150 cm</t>
  </si>
  <si>
    <t>SCUTECE ADULTI</t>
  </si>
  <si>
    <t>33751000-9 - Scutece de unica folosinta (Rev.2)</t>
  </si>
  <si>
    <t>Set 50 dopuri de urechi Haspro</t>
  </si>
  <si>
    <t>33185100-1 - Piese si accesorii pentru proteze auditive (Rev.2)</t>
  </si>
  <si>
    <t>Set clisma</t>
  </si>
  <si>
    <t>Sistem aspiratie traheala circuit inchis 72 ore</t>
  </si>
  <si>
    <t>Stent intracranian compatibil cu stentare in Y</t>
  </si>
  <si>
    <t>Tavite renale / Tavita renala din plastic</t>
  </si>
  <si>
    <t>33169300-5 - Tavi cu utilizare chirurgicala (Rev.2)</t>
  </si>
  <si>
    <t>TEACA GHID LUNGA PENTRU ACCES NEUROVASCULAR</t>
  </si>
  <si>
    <t>Tifon medical hidrofil 90cm / 40 gr - 48 gr</t>
  </si>
  <si>
    <t>Unicircuit anestezie cu membrana permeabila Limb-O pentru adulti</t>
  </si>
  <si>
    <t>44164310-3 - Tuburi si racorduri (Rev.2)</t>
  </si>
  <si>
    <t>Urinar barbati unica folosinta CARTON</t>
  </si>
  <si>
    <t>VALVA HEMOSTATICA PUSH AND PULL</t>
  </si>
  <si>
    <t>VALVE HEMOSTATICE</t>
  </si>
  <si>
    <t>Vata hidrofila medicinala 200g</t>
  </si>
  <si>
    <t>rev. 15</t>
  </si>
  <si>
    <t>Anexa la Programul Anual al Achizițiilor Publice pentru anul 2025 (01.01.2025-31.08.2025)</t>
  </si>
  <si>
    <t>Programul Anual al Achizițiilor Publice (PAAP) (01.01.2025-31.08.2025)</t>
  </si>
  <si>
    <t>CENTRALIZATOR (01.01.2025-31.08.2025)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</si>
</sst>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64" formatCode="#,##0.0000"/>
    <numFmt numFmtId="165" formatCode="[$-409]d\-mmm\-yy;@"/>
    <numFmt numFmtId="166" formatCode="#,##0.00\ [$RON]"/>
    <numFmt numFmtId="167" formatCode="[$$-409]#,##0.00"/>
    <numFmt numFmtId="168" formatCode="[$-409]mmmm\-yy;@"/>
    <numFmt numFmtId="169" formatCode="[$RON]\ #,##0.00"/>
    <numFmt numFmtId="170" formatCode="d/m/yyyy;@"/>
    <numFmt numFmtId="171" formatCode="[$RON]\ #,##0.00_);[Red]\([$RON]\ #,##0.00\)"/>
    <numFmt numFmtId="172" formatCode="[$RON]\ #,##0.00_);\([$RON]\ #,##0.00\)"/>
    <numFmt numFmtId="173" formatCode="#,##0.00\ &quot;lei&quot;"/>
    <numFmt numFmtId="174" formatCode="dd/mm/yy;@"/>
  </numFmts>
  <fonts count="43" x14ac:knownFonts="1">
    <font>
      <sz val="11"/>
      <color theme="1"/>
      <name val="Calibri"/>
      <family val="2"/>
      <scheme val="minor"/>
    </font>
    <font>
      <b/>
      <sz val="11"/>
      <color theme="1"/>
      <name val="Calibri"/>
      <family val="2"/>
      <charset val="238"/>
      <scheme val="minor"/>
    </font>
    <font>
      <sz val="10"/>
      <name val="Arial"/>
      <family val="2"/>
      <charset val="238"/>
    </font>
    <font>
      <b/>
      <sz val="10"/>
      <name val="Calibri"/>
      <family val="2"/>
      <charset val="238"/>
      <scheme val="minor"/>
    </font>
    <font>
      <sz val="10"/>
      <name val="Calibri"/>
      <family val="2"/>
      <charset val="238"/>
      <scheme val="minor"/>
    </font>
    <font>
      <u/>
      <sz val="11"/>
      <color theme="10"/>
      <name val="Calibri"/>
      <family val="2"/>
      <charset val="238"/>
      <scheme val="minor"/>
    </font>
    <font>
      <b/>
      <sz val="10"/>
      <color rgb="FF000000"/>
      <name val="Calibri"/>
      <family val="2"/>
      <charset val="238"/>
      <scheme val="minor"/>
    </font>
    <font>
      <sz val="10"/>
      <color rgb="FF000000"/>
      <name val="Calibri"/>
      <family val="2"/>
      <charset val="238"/>
      <scheme val="minor"/>
    </font>
    <font>
      <b/>
      <i/>
      <sz val="11"/>
      <color theme="1"/>
      <name val="Calibri"/>
      <family val="2"/>
      <charset val="238"/>
      <scheme val="minor"/>
    </font>
    <font>
      <i/>
      <sz val="11"/>
      <color theme="1"/>
      <name val="Calibri"/>
      <family val="2"/>
      <charset val="238"/>
      <scheme val="minor"/>
    </font>
    <font>
      <i/>
      <sz val="10"/>
      <name val="Calibri"/>
      <family val="2"/>
      <charset val="238"/>
      <scheme val="minor"/>
    </font>
    <font>
      <i/>
      <sz val="8"/>
      <color rgb="FF000000"/>
      <name val="Calibri"/>
      <family val="2"/>
      <charset val="238"/>
      <scheme val="minor"/>
    </font>
    <font>
      <b/>
      <sz val="12"/>
      <color theme="1"/>
      <name val="Calibri"/>
      <family val="2"/>
      <charset val="238"/>
      <scheme val="minor"/>
    </font>
    <font>
      <b/>
      <sz val="11"/>
      <color theme="1"/>
      <name val="Calibri"/>
      <family val="2"/>
      <charset val="238"/>
    </font>
    <font>
      <b/>
      <sz val="9"/>
      <color rgb="FF000000"/>
      <name val="Calibri"/>
      <family val="2"/>
      <charset val="238"/>
      <scheme val="minor"/>
    </font>
    <font>
      <sz val="10"/>
      <color theme="1"/>
      <name val="Calibri"/>
      <family val="2"/>
      <scheme val="minor"/>
    </font>
    <font>
      <sz val="10"/>
      <name val="Arial"/>
      <family val="2"/>
    </font>
    <font>
      <b/>
      <sz val="9"/>
      <color theme="1"/>
      <name val="Calibri"/>
      <family val="2"/>
      <scheme val="minor"/>
    </font>
    <font>
      <sz val="9"/>
      <color theme="1"/>
      <name val="Calibri"/>
      <family val="2"/>
      <scheme val="minor"/>
    </font>
    <font>
      <sz val="9"/>
      <color indexed="8"/>
      <name val="Calibri"/>
      <family val="2"/>
      <scheme val="minor"/>
    </font>
    <font>
      <sz val="9"/>
      <name val="Calibri"/>
      <family val="2"/>
      <scheme val="minor"/>
    </font>
    <font>
      <sz val="9"/>
      <color rgb="FF000000"/>
      <name val="Calibri"/>
      <family val="2"/>
      <scheme val="minor"/>
    </font>
    <font>
      <i/>
      <sz val="9"/>
      <color theme="1"/>
      <name val="Calibri"/>
      <family val="2"/>
      <scheme val="minor"/>
    </font>
    <font>
      <b/>
      <i/>
      <sz val="9"/>
      <color theme="1"/>
      <name val="Calibri"/>
      <family val="2"/>
      <scheme val="minor"/>
    </font>
    <font>
      <b/>
      <i/>
      <u/>
      <sz val="12"/>
      <color theme="1"/>
      <name val="Calibri"/>
      <family val="2"/>
      <scheme val="minor"/>
    </font>
    <font>
      <b/>
      <sz val="12"/>
      <color theme="1"/>
      <name val="Calibri"/>
      <family val="2"/>
      <scheme val="minor"/>
    </font>
    <font>
      <sz val="12"/>
      <color theme="1"/>
      <name val="Calibri"/>
      <family val="2"/>
      <scheme val="minor"/>
    </font>
    <font>
      <sz val="10"/>
      <name val="Calibri"/>
      <family val="2"/>
    </font>
    <font>
      <b/>
      <sz val="11"/>
      <color theme="1"/>
      <name val="Calibri"/>
      <family val="2"/>
      <scheme val="minor"/>
    </font>
    <font>
      <b/>
      <i/>
      <u/>
      <sz val="11"/>
      <color theme="1"/>
      <name val="Calibri"/>
      <family val="2"/>
      <scheme val="minor"/>
    </font>
    <font>
      <b/>
      <sz val="9"/>
      <name val="Calibri"/>
      <family val="2"/>
      <scheme val="minor"/>
    </font>
    <font>
      <i/>
      <sz val="9"/>
      <name val="Calibri"/>
      <family val="2"/>
      <scheme val="minor"/>
    </font>
    <font>
      <sz val="11"/>
      <name val="Calibri"/>
      <family val="2"/>
      <scheme val="minor"/>
    </font>
    <font>
      <b/>
      <sz val="10"/>
      <name val="Arial"/>
      <family val="2"/>
    </font>
    <font>
      <sz val="8"/>
      <name val="Calibri"/>
      <family val="2"/>
      <scheme val="minor"/>
    </font>
    <font>
      <b/>
      <sz val="8"/>
      <name val="Calibri"/>
      <family val="2"/>
      <scheme val="minor"/>
    </font>
    <font>
      <sz val="8"/>
      <color theme="1"/>
      <name val="Calibri"/>
      <family val="2"/>
      <scheme val="minor"/>
    </font>
    <font>
      <i/>
      <sz val="8"/>
      <color theme="1"/>
      <name val="Calibri"/>
      <family val="2"/>
      <scheme val="minor"/>
    </font>
    <font>
      <i/>
      <sz val="8"/>
      <name val="Calibri"/>
      <family val="2"/>
      <scheme val="minor"/>
    </font>
    <font>
      <b/>
      <sz val="8"/>
      <color theme="1"/>
      <name val="Calibri"/>
      <family val="2"/>
      <scheme val="minor"/>
    </font>
    <font>
      <b/>
      <i/>
      <sz val="9"/>
      <name val="Calibri"/>
      <family val="2"/>
      <scheme val="minor"/>
    </font>
    <font>
      <sz val="8"/>
      <color rgb="FFFF0000"/>
      <name val="Calibri"/>
      <family val="2"/>
      <scheme val="minor"/>
    </font>
    <font>
      <i/>
      <sz val="8"/>
      <color rgb="FFFF0000"/>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0" tint="-0.34998626667073579"/>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right/>
      <top/>
      <bottom style="thick">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diagonal/>
    </border>
    <border>
      <left style="thin">
        <color indexed="64"/>
      </left>
      <right/>
      <top style="thick">
        <color indexed="64"/>
      </top>
      <bottom/>
      <diagonal/>
    </border>
    <border>
      <left style="thin">
        <color indexed="64"/>
      </left>
      <right style="thin">
        <color indexed="64"/>
      </right>
      <top style="thick">
        <color indexed="64"/>
      </top>
      <bottom style="thin">
        <color indexed="64"/>
      </bottom>
      <diagonal/>
    </border>
    <border>
      <left style="thin">
        <color indexed="64"/>
      </left>
      <right style="medium">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top style="thin">
        <color indexed="64"/>
      </top>
      <bottom style="thin">
        <color indexed="64"/>
      </bottom>
      <diagonal/>
    </border>
    <border>
      <left style="thick">
        <color indexed="64"/>
      </left>
      <right style="thin">
        <color indexed="64"/>
      </right>
      <top style="thick">
        <color indexed="64"/>
      </top>
      <bottom/>
      <diagonal/>
    </border>
    <border>
      <left style="thin">
        <color indexed="64"/>
      </left>
      <right/>
      <top style="thick">
        <color indexed="64"/>
      </top>
      <bottom style="thin">
        <color indexed="64"/>
      </bottom>
      <diagonal/>
    </border>
    <border>
      <left style="medium">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4">
    <xf numFmtId="0" fontId="0" fillId="0" borderId="0"/>
    <xf numFmtId="0" fontId="2" fillId="0" borderId="0"/>
    <xf numFmtId="0" fontId="5" fillId="0" borderId="0" applyNumberFormat="0" applyFill="0" applyBorder="0" applyAlignment="0" applyProtection="0"/>
    <xf numFmtId="172" fontId="20" fillId="0" borderId="1"/>
  </cellStyleXfs>
  <cellXfs count="243">
    <xf numFmtId="0" fontId="0" fillId="0" borderId="0" xfId="0"/>
    <xf numFmtId="0" fontId="3" fillId="0" borderId="0" xfId="1" applyFont="1"/>
    <xf numFmtId="0" fontId="4" fillId="0" borderId="0" xfId="1" applyFont="1"/>
    <xf numFmtId="164" fontId="0" fillId="0" borderId="0" xfId="0" applyNumberFormat="1"/>
    <xf numFmtId="0" fontId="5" fillId="0" borderId="0" xfId="2"/>
    <xf numFmtId="0" fontId="5" fillId="0" borderId="0" xfId="2" applyAlignment="1" applyProtection="1"/>
    <xf numFmtId="0" fontId="5" fillId="0" borderId="0" xfId="2" quotePrefix="1"/>
    <xf numFmtId="0" fontId="6" fillId="0" borderId="1" xfId="0" applyFont="1" applyBorder="1" applyAlignment="1">
      <alignment horizontal="center" vertical="center" wrapText="1"/>
    </xf>
    <xf numFmtId="4" fontId="0" fillId="0" borderId="0" xfId="0" applyNumberFormat="1"/>
    <xf numFmtId="0" fontId="7" fillId="0" borderId="1" xfId="0" applyFont="1" applyBorder="1" applyAlignment="1">
      <alignment horizontal="center" vertical="center" wrapText="1"/>
    </xf>
    <xf numFmtId="165" fontId="7" fillId="0" borderId="1" xfId="0" applyNumberFormat="1" applyFont="1" applyBorder="1" applyAlignment="1">
      <alignment horizontal="center" vertical="center" wrapText="1"/>
    </xf>
    <xf numFmtId="0" fontId="7" fillId="0" borderId="1" xfId="0" applyFont="1" applyBorder="1" applyAlignment="1">
      <alignment vertical="center" wrapText="1"/>
    </xf>
    <xf numFmtId="4" fontId="0" fillId="0" borderId="1" xfId="0" applyNumberFormat="1" applyBorder="1"/>
    <xf numFmtId="165" fontId="6" fillId="0" borderId="1" xfId="0" applyNumberFormat="1" applyFont="1" applyBorder="1" applyAlignment="1">
      <alignment horizontal="center" vertical="center" wrapText="1"/>
    </xf>
    <xf numFmtId="0" fontId="6" fillId="0" borderId="1" xfId="0" applyFont="1" applyBorder="1" applyAlignment="1">
      <alignment vertical="center" wrapText="1"/>
    </xf>
    <xf numFmtId="0" fontId="4" fillId="0" borderId="0" xfId="1" applyFont="1" applyAlignment="1">
      <alignment wrapText="1"/>
    </xf>
    <xf numFmtId="0" fontId="0" fillId="0" borderId="0" xfId="0" applyAlignment="1">
      <alignment wrapText="1"/>
    </xf>
    <xf numFmtId="0" fontId="0" fillId="0" borderId="0" xfId="0" applyAlignment="1">
      <alignment horizontal="center" vertical="center"/>
    </xf>
    <xf numFmtId="0" fontId="11" fillId="4" borderId="1" xfId="0" applyFont="1" applyFill="1" applyBorder="1" applyAlignment="1">
      <alignment horizontal="center" vertical="center" wrapText="1"/>
    </xf>
    <xf numFmtId="0" fontId="1" fillId="0" borderId="0" xfId="0" applyFont="1" applyAlignment="1">
      <alignment vertical="center"/>
    </xf>
    <xf numFmtId="0" fontId="12" fillId="0" borderId="0" xfId="0" applyFont="1" applyAlignment="1">
      <alignment vertical="center"/>
    </xf>
    <xf numFmtId="0" fontId="13" fillId="0" borderId="1" xfId="0" applyFont="1" applyBorder="1" applyAlignment="1">
      <alignment vertical="center" wrapText="1"/>
    </xf>
    <xf numFmtId="165" fontId="11" fillId="4" borderId="1" xfId="0" applyNumberFormat="1" applyFont="1" applyFill="1" applyBorder="1" applyAlignment="1">
      <alignment horizontal="center" vertical="center" wrapText="1"/>
    </xf>
    <xf numFmtId="0" fontId="14" fillId="0" borderId="1" xfId="0" applyFont="1" applyBorder="1" applyAlignment="1">
      <alignment horizontal="center" vertical="center" wrapText="1"/>
    </xf>
    <xf numFmtId="0" fontId="11" fillId="4" borderId="10" xfId="0" applyFont="1" applyFill="1" applyBorder="1" applyAlignment="1">
      <alignment horizontal="center" vertical="center" wrapText="1"/>
    </xf>
    <xf numFmtId="0" fontId="0" fillId="0" borderId="1" xfId="0" applyBorder="1"/>
    <xf numFmtId="164" fontId="0" fillId="0" borderId="1" xfId="0" applyNumberFormat="1" applyBorder="1"/>
    <xf numFmtId="0" fontId="15" fillId="0" borderId="0" xfId="0" applyFont="1"/>
    <xf numFmtId="0" fontId="15" fillId="0" borderId="1" xfId="0" applyFont="1" applyBorder="1" applyAlignment="1">
      <alignment vertical="center" wrapText="1"/>
    </xf>
    <xf numFmtId="0" fontId="16" fillId="0" borderId="0" xfId="0" applyFont="1" applyAlignment="1">
      <alignment horizontal="center" vertical="center"/>
    </xf>
    <xf numFmtId="0" fontId="16" fillId="0" borderId="0" xfId="0" applyFont="1" applyAlignment="1">
      <alignment horizontal="center"/>
    </xf>
    <xf numFmtId="0" fontId="16" fillId="0" borderId="0" xfId="0" applyFont="1"/>
    <xf numFmtId="0" fontId="16" fillId="0" borderId="0" xfId="0" applyFont="1" applyAlignment="1">
      <alignment vertical="center" wrapText="1"/>
    </xf>
    <xf numFmtId="0" fontId="16" fillId="0" borderId="0" xfId="0" applyFont="1" applyAlignment="1" applyProtection="1">
      <alignment horizontal="center" vertical="center" wrapText="1"/>
      <protection locked="0"/>
    </xf>
    <xf numFmtId="0" fontId="16" fillId="0" borderId="0" xfId="0" applyFont="1" applyAlignment="1">
      <alignment vertical="center"/>
    </xf>
    <xf numFmtId="0" fontId="0" fillId="0" borderId="0" xfId="0" applyAlignment="1">
      <alignment horizontal="center" vertical="center" wrapText="1"/>
    </xf>
    <xf numFmtId="4" fontId="0" fillId="0" borderId="0" xfId="0" applyNumberFormat="1" applyAlignment="1">
      <alignment vertical="center" wrapText="1"/>
    </xf>
    <xf numFmtId="0" fontId="0" fillId="0" borderId="0" xfId="0" applyAlignment="1">
      <alignment vertical="center" wrapText="1"/>
    </xf>
    <xf numFmtId="170" fontId="0" fillId="0" borderId="0" xfId="0" applyNumberFormat="1" applyAlignment="1">
      <alignment vertical="center" wrapText="1"/>
    </xf>
    <xf numFmtId="0" fontId="0" fillId="0" borderId="0" xfId="0" applyAlignment="1">
      <alignment vertical="center"/>
    </xf>
    <xf numFmtId="4" fontId="15" fillId="0" borderId="1" xfId="0" applyNumberFormat="1" applyFont="1" applyBorder="1" applyAlignment="1">
      <alignment vertical="center"/>
    </xf>
    <xf numFmtId="164" fontId="15" fillId="0" borderId="1" xfId="0" applyNumberFormat="1" applyFont="1" applyBorder="1" applyAlignment="1">
      <alignment vertical="center"/>
    </xf>
    <xf numFmtId="4" fontId="15" fillId="0" borderId="1" xfId="0" applyNumberFormat="1" applyFont="1" applyBorder="1" applyAlignment="1">
      <alignment vertical="center" wrapText="1"/>
    </xf>
    <xf numFmtId="169" fontId="0" fillId="0" borderId="0" xfId="0" applyNumberFormat="1"/>
    <xf numFmtId="17" fontId="7" fillId="0" borderId="1" xfId="0" applyNumberFormat="1" applyFont="1" applyBorder="1" applyAlignment="1">
      <alignment horizontal="center" vertical="center" wrapText="1"/>
    </xf>
    <xf numFmtId="17" fontId="15" fillId="0" borderId="1" xfId="0" applyNumberFormat="1" applyFont="1" applyBorder="1" applyAlignment="1">
      <alignment vertical="center" wrapText="1"/>
    </xf>
    <xf numFmtId="0" fontId="17" fillId="2" borderId="6" xfId="0" applyFont="1" applyFill="1" applyBorder="1" applyAlignment="1">
      <alignment horizontal="center" vertical="center" wrapText="1"/>
    </xf>
    <xf numFmtId="0" fontId="17" fillId="2" borderId="16" xfId="0" applyFont="1" applyFill="1" applyBorder="1" applyAlignment="1">
      <alignment horizontal="center" vertical="center" wrapText="1"/>
    </xf>
    <xf numFmtId="0" fontId="17" fillId="2" borderId="4" xfId="0" applyFont="1" applyFill="1" applyBorder="1" applyAlignment="1">
      <alignment horizontal="center" vertical="center" wrapText="1"/>
    </xf>
    <xf numFmtId="0" fontId="17" fillId="2" borderId="5" xfId="0" applyFont="1" applyFill="1" applyBorder="1" applyAlignment="1">
      <alignment horizontal="center" vertical="center" wrapText="1"/>
    </xf>
    <xf numFmtId="0" fontId="17" fillId="2" borderId="8" xfId="0" applyFont="1" applyFill="1" applyBorder="1" applyAlignment="1">
      <alignment horizontal="center" vertical="center" wrapText="1"/>
    </xf>
    <xf numFmtId="0" fontId="17" fillId="0" borderId="1" xfId="0" applyFont="1" applyBorder="1" applyAlignment="1">
      <alignment horizontal="center" vertical="center" wrapText="1"/>
    </xf>
    <xf numFmtId="0" fontId="18" fillId="0" borderId="1" xfId="0" applyFont="1" applyBorder="1" applyAlignment="1">
      <alignment horizontal="left" vertical="center" wrapText="1"/>
    </xf>
    <xf numFmtId="0" fontId="18" fillId="0" borderId="1" xfId="0" applyFont="1" applyBorder="1" applyAlignment="1">
      <alignment vertical="center" wrapText="1"/>
    </xf>
    <xf numFmtId="166" fontId="18" fillId="0" borderId="1" xfId="0" applyNumberFormat="1" applyFont="1" applyBorder="1" applyAlignment="1">
      <alignment horizontal="center" vertical="center" wrapText="1"/>
    </xf>
    <xf numFmtId="167" fontId="18" fillId="0" borderId="1" xfId="0" applyNumberFormat="1" applyFont="1" applyBorder="1" applyAlignment="1">
      <alignment horizontal="center" vertical="center" wrapText="1"/>
    </xf>
    <xf numFmtId="168" fontId="18" fillId="0" borderId="1" xfId="0" applyNumberFormat="1" applyFont="1" applyBorder="1" applyAlignment="1">
      <alignment horizontal="center" vertical="center"/>
    </xf>
    <xf numFmtId="168" fontId="18" fillId="0" borderId="1" xfId="0" applyNumberFormat="1" applyFont="1" applyBorder="1" applyAlignment="1">
      <alignment horizontal="center" vertical="center" wrapText="1"/>
    </xf>
    <xf numFmtId="166" fontId="17" fillId="0" borderId="1" xfId="0" applyNumberFormat="1" applyFont="1" applyBorder="1" applyAlignment="1">
      <alignment horizontal="center" vertical="center" wrapText="1"/>
    </xf>
    <xf numFmtId="0" fontId="19" fillId="0" borderId="1" xfId="0" applyFont="1" applyBorder="1" applyAlignment="1">
      <alignment vertical="center" wrapText="1"/>
    </xf>
    <xf numFmtId="0" fontId="19" fillId="0" borderId="1" xfId="0" applyFont="1" applyBorder="1" applyAlignment="1">
      <alignment horizontal="left" vertical="center" wrapText="1"/>
    </xf>
    <xf numFmtId="0" fontId="20" fillId="0" borderId="1" xfId="0" applyFont="1" applyBorder="1" applyAlignment="1">
      <alignment vertical="center" wrapText="1"/>
    </xf>
    <xf numFmtId="0" fontId="21" fillId="0" borderId="1" xfId="0" applyFont="1" applyBorder="1" applyAlignment="1">
      <alignment vertical="center" wrapText="1"/>
    </xf>
    <xf numFmtId="0" fontId="20" fillId="0" borderId="1" xfId="0" applyFont="1" applyBorder="1" applyAlignment="1">
      <alignment horizontal="left" vertical="center" wrapText="1"/>
    </xf>
    <xf numFmtId="0" fontId="18" fillId="0" borderId="1" xfId="0" applyFont="1" applyBorder="1" applyAlignment="1">
      <alignment wrapText="1"/>
    </xf>
    <xf numFmtId="0" fontId="17" fillId="0" borderId="14" xfId="0" applyFont="1" applyBorder="1" applyAlignment="1">
      <alignment horizontal="center" vertical="center" wrapText="1"/>
    </xf>
    <xf numFmtId="166" fontId="17" fillId="0" borderId="1" xfId="0" applyNumberFormat="1" applyFont="1" applyBorder="1"/>
    <xf numFmtId="169" fontId="18" fillId="0" borderId="1" xfId="0" applyNumberFormat="1" applyFont="1" applyBorder="1" applyAlignment="1">
      <alignment horizontal="center" vertical="center"/>
    </xf>
    <xf numFmtId="0" fontId="18" fillId="0" borderId="0" xfId="0" applyFont="1" applyAlignment="1">
      <alignment vertical="center" wrapText="1"/>
    </xf>
    <xf numFmtId="0" fontId="18" fillId="0" borderId="0" xfId="0" applyFont="1" applyAlignment="1">
      <alignment wrapText="1"/>
    </xf>
    <xf numFmtId="0" fontId="20" fillId="0" borderId="0" xfId="0" applyFont="1" applyAlignment="1">
      <alignment horizontal="center" vertical="center"/>
    </xf>
    <xf numFmtId="0" fontId="18" fillId="0" borderId="0" xfId="0" applyFont="1" applyAlignment="1">
      <alignment horizontal="center" vertical="center" wrapText="1"/>
    </xf>
    <xf numFmtId="4" fontId="18" fillId="0" borderId="0" xfId="0" applyNumberFormat="1" applyFont="1" applyAlignment="1">
      <alignment vertical="center" wrapText="1"/>
    </xf>
    <xf numFmtId="170" fontId="18" fillId="0" borderId="0" xfId="0" applyNumberFormat="1" applyFont="1" applyAlignment="1">
      <alignment vertical="center" wrapText="1"/>
    </xf>
    <xf numFmtId="0" fontId="20" fillId="0" borderId="0" xfId="0" applyFont="1" applyAlignment="1">
      <alignment vertical="center"/>
    </xf>
    <xf numFmtId="0" fontId="20" fillId="0" borderId="0" xfId="0" applyFont="1" applyAlignment="1">
      <alignment vertical="center" wrapText="1"/>
    </xf>
    <xf numFmtId="0" fontId="17" fillId="2" borderId="1" xfId="0" applyFont="1" applyFill="1" applyBorder="1" applyAlignment="1">
      <alignment horizontal="center" vertical="center"/>
    </xf>
    <xf numFmtId="0" fontId="22" fillId="0" borderId="1" xfId="0" applyFont="1" applyBorder="1" applyAlignment="1">
      <alignment horizontal="center" vertical="center" wrapText="1"/>
    </xf>
    <xf numFmtId="166" fontId="22" fillId="0" borderId="1" xfId="0" applyNumberFormat="1" applyFont="1" applyBorder="1" applyAlignment="1">
      <alignment horizontal="center" vertical="center" wrapText="1"/>
    </xf>
    <xf numFmtId="167" fontId="22" fillId="0" borderId="1" xfId="0" applyNumberFormat="1" applyFont="1" applyBorder="1" applyAlignment="1">
      <alignment horizontal="center" vertical="center" wrapText="1"/>
    </xf>
    <xf numFmtId="168" fontId="22" fillId="0" borderId="1" xfId="0" applyNumberFormat="1" applyFont="1" applyBorder="1" applyAlignment="1">
      <alignment horizontal="center" vertical="center" wrapText="1"/>
    </xf>
    <xf numFmtId="168" fontId="22" fillId="0" borderId="1" xfId="0" applyNumberFormat="1" applyFont="1" applyBorder="1" applyAlignment="1">
      <alignment horizontal="center" vertical="center"/>
    </xf>
    <xf numFmtId="0" fontId="22" fillId="0" borderId="1" xfId="0" applyFont="1" applyBorder="1" applyAlignment="1">
      <alignment horizontal="center" vertical="center"/>
    </xf>
    <xf numFmtId="166" fontId="23" fillId="0" borderId="1" xfId="0" applyNumberFormat="1" applyFont="1" applyBorder="1" applyAlignment="1">
      <alignment horizontal="center" vertical="center" wrapText="1"/>
    </xf>
    <xf numFmtId="171" fontId="22" fillId="0" borderId="1" xfId="0" applyNumberFormat="1" applyFont="1" applyBorder="1" applyAlignment="1">
      <alignment horizontal="center" vertical="center" wrapText="1"/>
    </xf>
    <xf numFmtId="0" fontId="17" fillId="0" borderId="1" xfId="0" applyFont="1" applyBorder="1" applyAlignment="1">
      <alignment horizontal="center" vertical="center"/>
    </xf>
    <xf numFmtId="0" fontId="18" fillId="0" borderId="19" xfId="0" applyFont="1" applyBorder="1" applyAlignment="1">
      <alignment vertical="center" wrapText="1"/>
    </xf>
    <xf numFmtId="167" fontId="18" fillId="0" borderId="20" xfId="0" applyNumberFormat="1" applyFont="1" applyBorder="1" applyAlignment="1">
      <alignment horizontal="center" vertical="center" wrapText="1"/>
    </xf>
    <xf numFmtId="168" fontId="18" fillId="0" borderId="20" xfId="0" applyNumberFormat="1" applyFont="1" applyBorder="1" applyAlignment="1">
      <alignment horizontal="center" vertical="center"/>
    </xf>
    <xf numFmtId="168" fontId="18" fillId="0" borderId="20" xfId="0" applyNumberFormat="1" applyFont="1" applyBorder="1" applyAlignment="1">
      <alignment horizontal="center" vertical="center" wrapText="1"/>
    </xf>
    <xf numFmtId="169" fontId="25" fillId="0" borderId="0" xfId="0" applyNumberFormat="1" applyFont="1" applyAlignment="1">
      <alignment horizontal="right"/>
    </xf>
    <xf numFmtId="0" fontId="26" fillId="0" borderId="0" xfId="0" applyFont="1"/>
    <xf numFmtId="169" fontId="26" fillId="0" borderId="0" xfId="0" applyNumberFormat="1" applyFont="1"/>
    <xf numFmtId="0" fontId="26" fillId="0" borderId="0" xfId="0" applyFont="1" applyAlignment="1">
      <alignment horizontal="center" vertical="center"/>
    </xf>
    <xf numFmtId="169" fontId="25" fillId="0" borderId="0" xfId="0" applyNumberFormat="1" applyFont="1"/>
    <xf numFmtId="169" fontId="20" fillId="0" borderId="1" xfId="1" applyNumberFormat="1" applyFont="1" applyBorder="1" applyAlignment="1">
      <alignment horizontal="center" vertical="center"/>
    </xf>
    <xf numFmtId="0" fontId="27" fillId="0" borderId="1" xfId="0" applyFont="1" applyBorder="1" applyAlignment="1">
      <alignment vertical="center" wrapText="1"/>
    </xf>
    <xf numFmtId="166" fontId="18" fillId="0" borderId="1" xfId="0" applyNumberFormat="1" applyFont="1" applyBorder="1" applyAlignment="1">
      <alignment horizontal="center" vertical="center"/>
    </xf>
    <xf numFmtId="0" fontId="17" fillId="0" borderId="20" xfId="0" applyFont="1" applyBorder="1" applyAlignment="1">
      <alignment horizontal="center" vertical="center"/>
    </xf>
    <xf numFmtId="166" fontId="18" fillId="0" borderId="20" xfId="0" applyNumberFormat="1" applyFont="1" applyBorder="1" applyAlignment="1">
      <alignment horizontal="center" vertical="center"/>
    </xf>
    <xf numFmtId="172" fontId="18" fillId="0" borderId="1" xfId="0" applyNumberFormat="1" applyFont="1" applyBorder="1" applyAlignment="1">
      <alignment horizontal="center" vertical="center"/>
    </xf>
    <xf numFmtId="0" fontId="18" fillId="0" borderId="0" xfId="0" applyFont="1"/>
    <xf numFmtId="0" fontId="17" fillId="0" borderId="0" xfId="0" applyFont="1" applyAlignment="1">
      <alignment horizontal="left" vertical="center" wrapText="1"/>
    </xf>
    <xf numFmtId="166" fontId="22" fillId="0" borderId="0" xfId="0" applyNumberFormat="1" applyFont="1" applyAlignment="1">
      <alignment horizontal="center" vertical="center" wrapText="1"/>
    </xf>
    <xf numFmtId="166" fontId="23" fillId="0" borderId="0" xfId="0" applyNumberFormat="1" applyFont="1" applyAlignment="1">
      <alignment horizontal="center" vertical="center" wrapText="1"/>
    </xf>
    <xf numFmtId="167" fontId="22" fillId="0" borderId="0" xfId="0" applyNumberFormat="1" applyFont="1" applyAlignment="1">
      <alignment horizontal="center" vertical="center" wrapText="1"/>
    </xf>
    <xf numFmtId="168" fontId="22" fillId="0" borderId="0" xfId="0" applyNumberFormat="1" applyFont="1" applyAlignment="1">
      <alignment horizontal="center" vertical="center" wrapText="1"/>
    </xf>
    <xf numFmtId="168" fontId="22" fillId="0" borderId="0" xfId="0" applyNumberFormat="1" applyFont="1" applyAlignment="1">
      <alignment horizontal="center" vertical="center"/>
    </xf>
    <xf numFmtId="0" fontId="22" fillId="0" borderId="0" xfId="0" applyFont="1" applyAlignment="1">
      <alignment horizontal="center" vertical="center"/>
    </xf>
    <xf numFmtId="173" fontId="18" fillId="0" borderId="1" xfId="0" applyNumberFormat="1" applyFont="1" applyBorder="1" applyAlignment="1">
      <alignment horizontal="center" vertical="center"/>
    </xf>
    <xf numFmtId="173" fontId="17" fillId="0" borderId="1" xfId="0" applyNumberFormat="1" applyFont="1" applyBorder="1" applyAlignment="1">
      <alignment horizontal="center" vertical="center"/>
    </xf>
    <xf numFmtId="0" fontId="20" fillId="0" borderId="20" xfId="0" applyFont="1" applyBorder="1" applyAlignment="1">
      <alignment horizontal="left" vertical="center" wrapText="1"/>
    </xf>
    <xf numFmtId="0" fontId="17" fillId="2" borderId="15" xfId="0" applyFont="1" applyFill="1" applyBorder="1" applyAlignment="1">
      <alignment horizontal="center" vertical="center" wrapText="1"/>
    </xf>
    <xf numFmtId="0" fontId="28" fillId="0" borderId="0" xfId="0" applyFont="1"/>
    <xf numFmtId="0" fontId="28" fillId="0" borderId="1" xfId="0" applyFont="1" applyBorder="1"/>
    <xf numFmtId="4" fontId="28" fillId="0" borderId="1" xfId="0" applyNumberFormat="1" applyFont="1" applyBorder="1"/>
    <xf numFmtId="0" fontId="16" fillId="0" borderId="0" xfId="0" applyFont="1" applyAlignment="1" applyProtection="1">
      <alignment vertical="center" wrapText="1"/>
      <protection locked="0"/>
    </xf>
    <xf numFmtId="0" fontId="16" fillId="0" borderId="0" xfId="0" applyFont="1" applyAlignment="1">
      <alignment horizontal="left" vertical="center"/>
    </xf>
    <xf numFmtId="0" fontId="0" fillId="0" borderId="0" xfId="0" applyAlignment="1">
      <alignment horizontal="left" vertical="center" wrapText="1"/>
    </xf>
    <xf numFmtId="0" fontId="18" fillId="0" borderId="0" xfId="0" applyFont="1" applyAlignment="1">
      <alignment vertical="center"/>
    </xf>
    <xf numFmtId="0" fontId="30" fillId="0" borderId="1" xfId="0" applyFont="1" applyBorder="1" applyAlignment="1">
      <alignment horizontal="center" vertical="center" wrapText="1"/>
    </xf>
    <xf numFmtId="0" fontId="31" fillId="0" borderId="1" xfId="0" applyFont="1" applyBorder="1" applyAlignment="1">
      <alignment horizontal="center" vertical="center" wrapText="1"/>
    </xf>
    <xf numFmtId="166" fontId="31" fillId="0" borderId="1" xfId="0" applyNumberFormat="1" applyFont="1" applyBorder="1" applyAlignment="1">
      <alignment horizontal="center" vertical="center" wrapText="1"/>
    </xf>
    <xf numFmtId="167" fontId="31" fillId="0" borderId="1" xfId="0" applyNumberFormat="1" applyFont="1" applyBorder="1" applyAlignment="1">
      <alignment horizontal="center" vertical="center" wrapText="1"/>
    </xf>
    <xf numFmtId="168" fontId="31" fillId="0" borderId="1" xfId="0" applyNumberFormat="1" applyFont="1" applyBorder="1" applyAlignment="1">
      <alignment horizontal="center" vertical="center" wrapText="1"/>
    </xf>
    <xf numFmtId="168" fontId="31" fillId="0" borderId="1" xfId="0" applyNumberFormat="1" applyFont="1" applyBorder="1" applyAlignment="1">
      <alignment horizontal="center" vertical="center"/>
    </xf>
    <xf numFmtId="0" fontId="31" fillId="0" borderId="1" xfId="0" applyFont="1" applyBorder="1" applyAlignment="1">
      <alignment horizontal="center" vertical="center"/>
    </xf>
    <xf numFmtId="0" fontId="32" fillId="0" borderId="0" xfId="0" applyFont="1"/>
    <xf numFmtId="173" fontId="0" fillId="0" borderId="1" xfId="0" applyNumberFormat="1" applyBorder="1"/>
    <xf numFmtId="0" fontId="33" fillId="0" borderId="1" xfId="0" applyFont="1" applyBorder="1"/>
    <xf numFmtId="4" fontId="33" fillId="0" borderId="1" xfId="0" applyNumberFormat="1" applyFont="1" applyBorder="1"/>
    <xf numFmtId="173" fontId="33" fillId="0" borderId="1" xfId="0" applyNumberFormat="1" applyFont="1" applyBorder="1"/>
    <xf numFmtId="0" fontId="18" fillId="0" borderId="19" xfId="0" applyFont="1" applyBorder="1" applyAlignment="1">
      <alignment horizontal="left" vertical="center" wrapText="1"/>
    </xf>
    <xf numFmtId="166" fontId="20" fillId="0" borderId="1" xfId="0" applyNumberFormat="1" applyFont="1" applyBorder="1" applyAlignment="1">
      <alignment vertical="center" wrapText="1"/>
    </xf>
    <xf numFmtId="166" fontId="20" fillId="0" borderId="1" xfId="0" applyNumberFormat="1" applyFont="1" applyBorder="1" applyAlignment="1">
      <alignment horizontal="center" vertical="center" wrapText="1"/>
    </xf>
    <xf numFmtId="0" fontId="28" fillId="0" borderId="1" xfId="0" applyFont="1" applyBorder="1" applyAlignment="1">
      <alignment horizontal="center" vertical="center" wrapText="1"/>
    </xf>
    <xf numFmtId="0" fontId="35" fillId="0" borderId="1" xfId="0" applyFont="1" applyBorder="1" applyAlignment="1">
      <alignment horizontal="center" vertical="center" wrapText="1"/>
    </xf>
    <xf numFmtId="4" fontId="35" fillId="0" borderId="1" xfId="0" applyNumberFormat="1" applyFont="1" applyBorder="1" applyAlignment="1">
      <alignment horizontal="center" vertical="center" wrapText="1"/>
    </xf>
    <xf numFmtId="0" fontId="34" fillId="0" borderId="1" xfId="0" applyFont="1" applyBorder="1" applyAlignment="1">
      <alignment vertical="center" wrapText="1"/>
    </xf>
    <xf numFmtId="4" fontId="34" fillId="0" borderId="1" xfId="0" applyNumberFormat="1" applyFont="1" applyBorder="1" applyAlignment="1">
      <alignment vertical="center" wrapText="1"/>
    </xf>
    <xf numFmtId="4" fontId="35" fillId="0" borderId="1" xfId="0" applyNumberFormat="1" applyFont="1" applyBorder="1" applyAlignment="1">
      <alignment vertical="center" wrapText="1"/>
    </xf>
    <xf numFmtId="14" fontId="34" fillId="0" borderId="1" xfId="0" applyNumberFormat="1" applyFont="1" applyBorder="1" applyAlignment="1">
      <alignment vertical="center" wrapText="1"/>
    </xf>
    <xf numFmtId="0" fontId="34" fillId="0" borderId="18" xfId="0" applyFont="1" applyBorder="1" applyAlignment="1">
      <alignment horizontal="left" vertical="center" wrapText="1"/>
    </xf>
    <xf numFmtId="4" fontId="34" fillId="0" borderId="18" xfId="0" applyNumberFormat="1" applyFont="1" applyBorder="1" applyAlignment="1">
      <alignment horizontal="right" vertical="center" wrapText="1"/>
    </xf>
    <xf numFmtId="1" fontId="34" fillId="0" borderId="19" xfId="0" applyNumberFormat="1" applyFont="1" applyBorder="1" applyAlignment="1">
      <alignment horizontal="right" vertical="center" wrapText="1"/>
    </xf>
    <xf numFmtId="174" fontId="34" fillId="0" borderId="1" xfId="0" applyNumberFormat="1" applyFont="1" applyBorder="1" applyAlignment="1">
      <alignment horizontal="left" vertical="center" wrapText="1"/>
    </xf>
    <xf numFmtId="0" fontId="34" fillId="0" borderId="1" xfId="0" applyFont="1" applyBorder="1" applyAlignment="1">
      <alignment horizontal="left" vertical="center" wrapText="1"/>
    </xf>
    <xf numFmtId="4" fontId="34" fillId="0" borderId="1" xfId="0" applyNumberFormat="1" applyFont="1" applyBorder="1" applyAlignment="1">
      <alignment horizontal="right" vertical="center" wrapText="1"/>
    </xf>
    <xf numFmtId="0" fontId="34" fillId="0" borderId="1" xfId="0" applyFont="1" applyBorder="1" applyAlignment="1">
      <alignment horizontal="right" vertical="center" wrapText="1"/>
    </xf>
    <xf numFmtId="4" fontId="36" fillId="0" borderId="1" xfId="0" applyNumberFormat="1" applyFont="1" applyBorder="1" applyAlignment="1">
      <alignment horizontal="right" vertical="center" wrapText="1"/>
    </xf>
    <xf numFmtId="0" fontId="36" fillId="0" borderId="1" xfId="0" applyFont="1" applyBorder="1" applyAlignment="1">
      <alignment vertical="center" wrapText="1"/>
    </xf>
    <xf numFmtId="0" fontId="36" fillId="0" borderId="1" xfId="0" applyFont="1" applyBorder="1" applyAlignment="1">
      <alignment horizontal="left" vertical="center" wrapText="1"/>
    </xf>
    <xf numFmtId="1" fontId="34" fillId="0" borderId="1" xfId="0" applyNumberFormat="1" applyFont="1" applyBorder="1" applyAlignment="1">
      <alignment vertical="center" wrapText="1"/>
    </xf>
    <xf numFmtId="4" fontId="38" fillId="0" borderId="1" xfId="0" applyNumberFormat="1" applyFont="1" applyBorder="1" applyAlignment="1">
      <alignment horizontal="right" vertical="center" wrapText="1"/>
    </xf>
    <xf numFmtId="0" fontId="34" fillId="0" borderId="19" xfId="0" applyFont="1" applyBorder="1" applyAlignment="1">
      <alignment horizontal="right" vertical="center" wrapText="1"/>
    </xf>
    <xf numFmtId="0" fontId="34" fillId="0" borderId="19" xfId="0" applyFont="1" applyBorder="1" applyAlignment="1">
      <alignment vertical="center" wrapText="1"/>
    </xf>
    <xf numFmtId="4" fontId="39" fillId="0" borderId="1" xfId="0" applyNumberFormat="1" applyFont="1" applyBorder="1" applyAlignment="1">
      <alignment horizontal="right" vertical="center" wrapText="1"/>
    </xf>
    <xf numFmtId="0" fontId="34" fillId="0" borderId="0" xfId="0" applyFont="1" applyAlignment="1">
      <alignment vertical="center" wrapText="1"/>
    </xf>
    <xf numFmtId="4" fontId="34" fillId="0" borderId="0" xfId="0" applyNumberFormat="1" applyFont="1" applyAlignment="1">
      <alignment vertical="center" wrapText="1"/>
    </xf>
    <xf numFmtId="0" fontId="34" fillId="0" borderId="0" xfId="0" applyFont="1"/>
    <xf numFmtId="4" fontId="34" fillId="0" borderId="0" xfId="0" applyNumberFormat="1" applyFont="1" applyAlignment="1">
      <alignment horizontal="left" vertical="center"/>
    </xf>
    <xf numFmtId="0" fontId="34" fillId="0" borderId="0" xfId="0" applyFont="1" applyAlignment="1">
      <alignment vertical="center"/>
    </xf>
    <xf numFmtId="4" fontId="34" fillId="0" borderId="0" xfId="0" applyNumberFormat="1" applyFont="1" applyAlignment="1">
      <alignment horizontal="left" vertical="center" wrapText="1"/>
    </xf>
    <xf numFmtId="0" fontId="15" fillId="0" borderId="0" xfId="0" applyFont="1" applyAlignment="1">
      <alignment wrapText="1"/>
    </xf>
    <xf numFmtId="166" fontId="40" fillId="0" borderId="1" xfId="0" applyNumberFormat="1" applyFont="1" applyBorder="1" applyAlignment="1">
      <alignment horizontal="center" vertical="center" wrapText="1"/>
    </xf>
    <xf numFmtId="4" fontId="28" fillId="0" borderId="0" xfId="0" applyNumberFormat="1" applyFont="1"/>
    <xf numFmtId="4" fontId="27" fillId="0" borderId="1" xfId="0" applyNumberFormat="1" applyFont="1" applyBorder="1" applyAlignment="1">
      <alignment horizontal="center" vertical="center" wrapText="1"/>
    </xf>
    <xf numFmtId="0" fontId="0" fillId="0" borderId="1" xfId="0" applyBorder="1" applyAlignment="1">
      <alignment horizontal="center" vertical="center" wrapText="1"/>
    </xf>
    <xf numFmtId="4" fontId="0" fillId="0" borderId="1" xfId="0" applyNumberFormat="1" applyBorder="1" applyAlignment="1">
      <alignment horizontal="center" vertical="center" wrapText="1"/>
    </xf>
    <xf numFmtId="4" fontId="16" fillId="0" borderId="1" xfId="0" applyNumberFormat="1" applyFont="1" applyBorder="1" applyAlignment="1">
      <alignment horizontal="center" vertical="center" wrapText="1"/>
    </xf>
    <xf numFmtId="0" fontId="0" fillId="0" borderId="1" xfId="0" applyBorder="1" applyAlignment="1">
      <alignment vertical="center"/>
    </xf>
    <xf numFmtId="0" fontId="0" fillId="0" borderId="1" xfId="0" applyBorder="1" applyAlignment="1">
      <alignment vertical="center" wrapText="1"/>
    </xf>
    <xf numFmtId="0" fontId="0" fillId="0" borderId="1" xfId="0" applyBorder="1" applyAlignment="1">
      <alignment horizontal="center" vertical="center"/>
    </xf>
    <xf numFmtId="4" fontId="0" fillId="0" borderId="1" xfId="0" applyNumberFormat="1" applyBorder="1" applyAlignment="1">
      <alignment vertical="center"/>
    </xf>
    <xf numFmtId="0" fontId="16" fillId="0" borderId="1" xfId="0" applyFont="1" applyBorder="1" applyAlignment="1">
      <alignment vertical="center"/>
    </xf>
    <xf numFmtId="0" fontId="16" fillId="0" borderId="1" xfId="0" applyFont="1" applyBorder="1" applyAlignment="1">
      <alignment vertical="center" wrapText="1"/>
    </xf>
    <xf numFmtId="0" fontId="33" fillId="0" borderId="14" xfId="0" applyFont="1" applyBorder="1" applyAlignment="1">
      <alignment horizontal="left" vertical="center"/>
    </xf>
    <xf numFmtId="0" fontId="33" fillId="0" borderId="18" xfId="0" applyFont="1" applyBorder="1" applyAlignment="1">
      <alignment horizontal="left" vertical="center"/>
    </xf>
    <xf numFmtId="0" fontId="33" fillId="0" borderId="19" xfId="0" applyFont="1" applyBorder="1" applyAlignment="1">
      <alignment horizontal="left" vertical="center"/>
    </xf>
    <xf numFmtId="4" fontId="33" fillId="0" borderId="1" xfId="0" applyNumberFormat="1" applyFont="1" applyBorder="1" applyAlignment="1">
      <alignment vertical="center"/>
    </xf>
    <xf numFmtId="0" fontId="33" fillId="0" borderId="1" xfId="0" applyFont="1" applyBorder="1" applyAlignment="1">
      <alignment horizontal="left" vertical="center"/>
    </xf>
    <xf numFmtId="0" fontId="34" fillId="0" borderId="0" xfId="0" applyFont="1" applyAlignment="1">
      <alignment horizontal="center"/>
    </xf>
    <xf numFmtId="4" fontId="36" fillId="0" borderId="1" xfId="0" applyNumberFormat="1" applyFont="1" applyBorder="1" applyAlignment="1">
      <alignment vertical="center"/>
    </xf>
    <xf numFmtId="0" fontId="36" fillId="0" borderId="1" xfId="0" applyFont="1" applyBorder="1" applyAlignment="1">
      <alignment vertical="center"/>
    </xf>
    <xf numFmtId="0" fontId="35" fillId="0" borderId="0" xfId="0" applyFont="1"/>
    <xf numFmtId="3" fontId="36" fillId="0" borderId="1" xfId="0" applyNumberFormat="1" applyFont="1" applyBorder="1" applyAlignment="1">
      <alignment horizontal="center" vertical="center" wrapText="1"/>
    </xf>
    <xf numFmtId="4" fontId="38" fillId="0" borderId="1" xfId="0" applyNumberFormat="1" applyFont="1" applyBorder="1" applyAlignment="1">
      <alignment horizontal="center" vertical="center" wrapText="1"/>
    </xf>
    <xf numFmtId="4" fontId="36" fillId="0" borderId="1" xfId="0" applyNumberFormat="1" applyFont="1" applyBorder="1" applyAlignment="1">
      <alignment horizontal="center" vertical="center" wrapText="1"/>
    </xf>
    <xf numFmtId="4" fontId="37" fillId="0" borderId="1" xfId="0" applyNumberFormat="1" applyFont="1" applyBorder="1" applyAlignment="1">
      <alignment horizontal="center" vertical="center" wrapText="1"/>
    </xf>
    <xf numFmtId="0" fontId="41" fillId="0" borderId="1" xfId="0" applyFont="1" applyBorder="1" applyAlignment="1">
      <alignment vertical="center" wrapText="1"/>
    </xf>
    <xf numFmtId="4" fontId="42" fillId="0" borderId="1" xfId="0" applyNumberFormat="1" applyFont="1" applyBorder="1" applyAlignment="1">
      <alignment horizontal="center" vertical="center" wrapText="1"/>
    </xf>
    <xf numFmtId="4" fontId="34" fillId="0" borderId="1" xfId="0" applyNumberFormat="1" applyFont="1" applyBorder="1" applyAlignment="1">
      <alignment horizontal="center" vertical="center" wrapText="1"/>
    </xf>
    <xf numFmtId="0" fontId="36" fillId="0" borderId="1" xfId="0" applyFont="1" applyBorder="1" applyAlignment="1">
      <alignment horizontal="center" vertical="center"/>
    </xf>
    <xf numFmtId="4" fontId="18" fillId="0" borderId="1" xfId="0" applyNumberFormat="1" applyFont="1" applyBorder="1" applyAlignment="1">
      <alignment horizontal="center" vertical="center"/>
    </xf>
    <xf numFmtId="0" fontId="16" fillId="0" borderId="0" xfId="0" applyFont="1" applyAlignment="1">
      <alignment horizontal="center" vertical="center" wrapText="1"/>
    </xf>
    <xf numFmtId="0" fontId="16" fillId="0" borderId="0" xfId="0" applyFont="1" applyAlignment="1">
      <alignment horizontal="left" vertical="center" wrapText="1"/>
    </xf>
    <xf numFmtId="0" fontId="20" fillId="0" borderId="20" xfId="0" applyFont="1" applyBorder="1" applyAlignment="1">
      <alignment vertical="center" wrapText="1"/>
    </xf>
    <xf numFmtId="0" fontId="10" fillId="3" borderId="17" xfId="1" applyFont="1" applyFill="1" applyBorder="1" applyAlignment="1">
      <alignment horizontal="left" vertical="top" wrapText="1"/>
    </xf>
    <xf numFmtId="0" fontId="10" fillId="3" borderId="0" xfId="1" applyFont="1" applyFill="1" applyAlignment="1">
      <alignment horizontal="left" vertical="top" wrapText="1"/>
    </xf>
    <xf numFmtId="0" fontId="1" fillId="0" borderId="0" xfId="0" applyFont="1" applyAlignment="1">
      <alignment horizontal="right"/>
    </xf>
    <xf numFmtId="0" fontId="1" fillId="0" borderId="0" xfId="0" applyFont="1" applyAlignment="1">
      <alignment horizontal="left" vertical="center"/>
    </xf>
    <xf numFmtId="0" fontId="3" fillId="0" borderId="0" xfId="1" applyFont="1" applyAlignment="1">
      <alignment horizontal="left"/>
    </xf>
    <xf numFmtId="0" fontId="29" fillId="0" borderId="1" xfId="0" applyFont="1" applyBorder="1" applyAlignment="1">
      <alignment horizontal="center" vertical="center"/>
    </xf>
    <xf numFmtId="0" fontId="17" fillId="0" borderId="14" xfId="0" applyFont="1" applyBorder="1" applyAlignment="1">
      <alignment horizontal="left" vertical="center" wrapText="1"/>
    </xf>
    <xf numFmtId="0" fontId="17" fillId="0" borderId="18" xfId="0" applyFont="1" applyBorder="1" applyAlignment="1">
      <alignment horizontal="left" vertical="center" wrapText="1"/>
    </xf>
    <xf numFmtId="0" fontId="17" fillId="0" borderId="19" xfId="0" applyFont="1" applyBorder="1" applyAlignment="1">
      <alignment horizontal="left" vertical="center" wrapText="1"/>
    </xf>
    <xf numFmtId="0" fontId="30" fillId="0" borderId="14" xfId="0" applyFont="1" applyBorder="1" applyAlignment="1">
      <alignment horizontal="left" vertical="center" wrapText="1"/>
    </xf>
    <xf numFmtId="0" fontId="30" fillId="0" borderId="18" xfId="0" applyFont="1" applyBorder="1" applyAlignment="1">
      <alignment horizontal="left" vertical="center" wrapText="1"/>
    </xf>
    <xf numFmtId="0" fontId="30" fillId="0" borderId="19" xfId="0" applyFont="1" applyBorder="1" applyAlignment="1">
      <alignment horizontal="left" vertical="center" wrapText="1"/>
    </xf>
    <xf numFmtId="0" fontId="17" fillId="2" borderId="8" xfId="0" applyFont="1" applyFill="1" applyBorder="1" applyAlignment="1">
      <alignment horizontal="center" vertical="center" wrapText="1"/>
    </xf>
    <xf numFmtId="0" fontId="17" fillId="2" borderId="13" xfId="0" applyFont="1" applyFill="1" applyBorder="1" applyAlignment="1">
      <alignment horizontal="center" vertical="center" wrapText="1"/>
    </xf>
    <xf numFmtId="0" fontId="2" fillId="0" borderId="0" xfId="1" applyAlignment="1">
      <alignment horizontal="center" vertical="center"/>
    </xf>
    <xf numFmtId="0" fontId="17" fillId="2" borderId="3" xfId="0" applyFont="1" applyFill="1" applyBorder="1" applyAlignment="1">
      <alignment horizontal="center" vertical="center" wrapText="1"/>
    </xf>
    <xf numFmtId="0" fontId="17" fillId="2" borderId="9" xfId="0" applyFont="1" applyFill="1" applyBorder="1" applyAlignment="1">
      <alignment horizontal="center" vertical="center" wrapText="1"/>
    </xf>
    <xf numFmtId="0" fontId="17" fillId="2" borderId="4" xfId="0" applyFont="1" applyFill="1" applyBorder="1" applyAlignment="1">
      <alignment horizontal="center" vertical="center" wrapText="1"/>
    </xf>
    <xf numFmtId="0" fontId="17" fillId="2" borderId="10" xfId="0" applyFont="1" applyFill="1" applyBorder="1" applyAlignment="1">
      <alignment horizontal="center" vertical="center" wrapText="1"/>
    </xf>
    <xf numFmtId="0" fontId="17" fillId="2" borderId="5" xfId="0" applyFont="1" applyFill="1" applyBorder="1" applyAlignment="1">
      <alignment horizontal="center" vertical="center" wrapText="1"/>
    </xf>
    <xf numFmtId="0" fontId="17" fillId="2" borderId="11" xfId="0" applyFont="1" applyFill="1" applyBorder="1" applyAlignment="1">
      <alignment horizontal="center" vertical="center" wrapText="1"/>
    </xf>
    <xf numFmtId="0" fontId="17" fillId="2" borderId="6" xfId="0" applyFont="1" applyFill="1" applyBorder="1" applyAlignment="1">
      <alignment horizontal="center" vertical="center" wrapText="1"/>
    </xf>
    <xf numFmtId="0" fontId="17" fillId="2" borderId="1" xfId="0" applyFont="1" applyFill="1" applyBorder="1" applyAlignment="1">
      <alignment horizontal="center" vertical="center" wrapText="1"/>
    </xf>
    <xf numFmtId="0" fontId="17" fillId="2" borderId="4" xfId="0" applyFont="1" applyFill="1" applyBorder="1" applyAlignment="1">
      <alignment horizontal="center" vertical="center"/>
    </xf>
    <xf numFmtId="0" fontId="17" fillId="2" borderId="10" xfId="0" applyFont="1" applyFill="1" applyBorder="1" applyAlignment="1">
      <alignment horizontal="center" vertical="center"/>
    </xf>
    <xf numFmtId="0" fontId="17" fillId="2" borderId="7" xfId="0" applyFont="1" applyFill="1" applyBorder="1" applyAlignment="1">
      <alignment horizontal="center" vertical="center" wrapText="1"/>
    </xf>
    <xf numFmtId="0" fontId="17" fillId="2" borderId="12" xfId="0" applyFont="1" applyFill="1" applyBorder="1" applyAlignment="1">
      <alignment horizontal="center" vertical="center" wrapText="1"/>
    </xf>
    <xf numFmtId="0" fontId="16" fillId="0" borderId="0" xfId="0" applyFont="1" applyAlignment="1">
      <alignment horizontal="center" vertical="center"/>
    </xf>
    <xf numFmtId="0" fontId="16" fillId="0" borderId="0" xfId="0" applyFont="1" applyAlignment="1" applyProtection="1">
      <alignment horizontal="center" vertical="center" wrapText="1"/>
      <protection locked="0"/>
    </xf>
    <xf numFmtId="0" fontId="24" fillId="0" borderId="0" xfId="0" applyFont="1" applyAlignment="1">
      <alignment horizontal="left" vertical="center"/>
    </xf>
    <xf numFmtId="0" fontId="17" fillId="0" borderId="2" xfId="0" applyFont="1" applyBorder="1" applyAlignment="1">
      <alignment horizontal="center" vertical="center"/>
    </xf>
    <xf numFmtId="0" fontId="17" fillId="0" borderId="1" xfId="0" applyFont="1" applyBorder="1" applyAlignment="1">
      <alignment horizontal="left" vertical="center" wrapText="1"/>
    </xf>
    <xf numFmtId="0" fontId="17" fillId="0" borderId="14" xfId="0" applyFont="1" applyBorder="1" applyAlignment="1">
      <alignment horizontal="left" vertical="center"/>
    </xf>
    <xf numFmtId="0" fontId="17" fillId="0" borderId="18" xfId="0" applyFont="1" applyBorder="1" applyAlignment="1">
      <alignment horizontal="left" vertical="center"/>
    </xf>
    <xf numFmtId="0" fontId="17" fillId="0" borderId="19" xfId="0" applyFont="1" applyBorder="1" applyAlignment="1">
      <alignment horizontal="left" vertical="center"/>
    </xf>
    <xf numFmtId="0" fontId="17" fillId="0" borderId="1" xfId="0" applyFont="1" applyBorder="1" applyAlignment="1">
      <alignment horizontal="center"/>
    </xf>
    <xf numFmtId="0" fontId="35" fillId="0" borderId="14" xfId="0" applyFont="1" applyBorder="1" applyAlignment="1">
      <alignment horizontal="left" vertical="center" wrapText="1"/>
    </xf>
    <xf numFmtId="0" fontId="35" fillId="0" borderId="18" xfId="0" applyFont="1" applyBorder="1" applyAlignment="1">
      <alignment horizontal="left" vertical="center" wrapText="1"/>
    </xf>
    <xf numFmtId="0" fontId="35" fillId="0" borderId="19" xfId="0" applyFont="1" applyBorder="1" applyAlignment="1">
      <alignment horizontal="left" vertical="center" wrapText="1"/>
    </xf>
    <xf numFmtId="0" fontId="35" fillId="0" borderId="1" xfId="0" applyFont="1" applyBorder="1" applyAlignment="1">
      <alignment horizontal="left" vertical="center" wrapText="1"/>
    </xf>
    <xf numFmtId="0" fontId="33" fillId="0" borderId="14" xfId="0" applyFont="1" applyBorder="1" applyAlignment="1">
      <alignment horizontal="left" vertical="center"/>
    </xf>
    <xf numFmtId="0" fontId="33" fillId="0" borderId="18" xfId="0" applyFont="1" applyBorder="1" applyAlignment="1">
      <alignment horizontal="left" vertical="center"/>
    </xf>
    <xf numFmtId="0" fontId="33" fillId="0" borderId="19" xfId="0" applyFont="1" applyBorder="1" applyAlignment="1">
      <alignment horizontal="left" vertical="center"/>
    </xf>
    <xf numFmtId="0" fontId="33" fillId="0" borderId="14" xfId="0" applyFont="1" applyBorder="1" applyAlignment="1">
      <alignment horizontal="left" vertical="center" wrapText="1"/>
    </xf>
    <xf numFmtId="0" fontId="33" fillId="0" borderId="18" xfId="0" applyFont="1" applyBorder="1" applyAlignment="1">
      <alignment horizontal="left" vertical="center" wrapText="1"/>
    </xf>
    <xf numFmtId="0" fontId="33" fillId="0" borderId="19" xfId="0" applyFont="1" applyBorder="1" applyAlignment="1">
      <alignment horizontal="left" vertical="center" wrapText="1"/>
    </xf>
  </cellXfs>
  <cellStyles count="4">
    <cellStyle name="Hyperlink" xfId="2" builtinId="8"/>
    <cellStyle name="Normal" xfId="0" builtinId="0"/>
    <cellStyle name="Normal 3" xfId="1" xr:uid="{00000000-0005-0000-0000-000002000000}"/>
    <cellStyle name="Stil 1" xfId="3" xr:uid="{00000000-0005-0000-0000-000004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Irina\Desktop\iesiri%202023.xls" TargetMode="External"/><Relationship Id="rId1" Type="http://schemas.openxmlformats.org/officeDocument/2006/relationships/externalLinkPath" Target="/Users/Irina/Desktop/iesiri%20202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Foaie1"/>
      <sheetName val="iesiri 2023"/>
    </sheetNames>
    <sheetDataSet>
      <sheetData sheetId="0"/>
      <sheetData sheetId="1">
        <row r="64">
          <cell r="A64" t="str">
            <v>TOTAL ART. 20.01.01 FURNITURI DE BIROU</v>
          </cell>
        </row>
        <row r="111">
          <cell r="A111" t="str">
            <v>TOTAL ART. 20.01.02 MATERIALE PENTRU CURATENIE</v>
          </cell>
        </row>
        <row r="127">
          <cell r="A127" t="str">
            <v>TOTAL ART. 20.01.03 INCALZIT, ILUMINAT SI FORTA MOTRICA</v>
          </cell>
        </row>
        <row r="129">
          <cell r="A129" t="str">
            <v>TOTAL ART. 20.01.04 APA, CANAL SI SALUBRITATE</v>
          </cell>
        </row>
        <row r="132">
          <cell r="A132" t="str">
            <v>TOTAL ART. 20.01.05 CARBURANTI SI LUBRIFIANTI</v>
          </cell>
        </row>
        <row r="185">
          <cell r="A185" t="str">
            <v>TOTAL ART. 20.01.06 PIESE DE SCHIMB</v>
          </cell>
        </row>
        <row r="190">
          <cell r="A190" t="str">
            <v>TOTAL ART. 20.01.08 POSTA, TELECOMUNICATII, RADIO, TV SI INTERNET</v>
          </cell>
        </row>
        <row r="269">
          <cell r="A269" t="str">
            <v>TOTAL ART. 20.01.09 MATERIALE SI PRESTARI DE SERVICII CU CARACTER FUNCTIONAL</v>
          </cell>
        </row>
        <row r="294">
          <cell r="A294" t="str">
            <v>TOTAL ART. 20.01.30 ALTE BUNURI SI SERVICII PENTRU INTRETINERE SI FUNCTIONARE</v>
          </cell>
        </row>
        <row r="358">
          <cell r="A358" t="str">
            <v>TOTAL ART. 20.02 REPARATII CURENTE</v>
          </cell>
        </row>
        <row r="360">
          <cell r="A360" t="str">
            <v>TOTAL ART. 20.03.01 Hrana pentru oameni</v>
          </cell>
        </row>
        <row r="417">
          <cell r="A417" t="str">
            <v>TOTAL ART. 20.04.01 MEDICAMENTE</v>
          </cell>
        </row>
        <row r="677">
          <cell r="A677" t="str">
            <v>TOTAL ART. 20.04.02 MATERIALE SANITARE</v>
          </cell>
        </row>
        <row r="720">
          <cell r="A720" t="str">
            <v>TOTAL ART. 20.04.03 REACTIVI</v>
          </cell>
        </row>
        <row r="759">
          <cell r="A759" t="str">
            <v>TOTAL ART. 20.04.04 DEZINFECTANTI</v>
          </cell>
        </row>
        <row r="761">
          <cell r="A761" t="str">
            <v>TOTAL ART. 20.05.01 UNIFORME SI ECHIPAMENT</v>
          </cell>
        </row>
        <row r="763">
          <cell r="A763" t="str">
            <v>TOTAL ART. 20.05.03 LENJERIE SI ACCESORII DE PAT</v>
          </cell>
        </row>
        <row r="765">
          <cell r="A765" t="str">
            <v>TOTAL ART. 20.05.30 ALTE OBIECTE DE INVENTAR</v>
          </cell>
        </row>
        <row r="767">
          <cell r="A767" t="str">
            <v>TOTAL ART. 20.06.01 DEPLASARI INTERNE, DETASARI, TRANSFERARI</v>
          </cell>
        </row>
        <row r="823">
          <cell r="A823" t="str">
            <v>TOTAL ART. 20.09 MATERIALE DE LABORATOR</v>
          </cell>
        </row>
        <row r="825">
          <cell r="A825" t="str">
            <v>TOTAL ART. 20.30.03 PRIME DE ASIGURARE NON-VIATA</v>
          </cell>
        </row>
        <row r="827">
          <cell r="A827" t="str">
            <v>TOTAL ART. 20.30.04 CHIRII</v>
          </cell>
        </row>
        <row r="829">
          <cell r="A829" t="str">
            <v>TOTAL ART. 20.13 PREGATIRE PROFESIONALA</v>
          </cell>
        </row>
        <row r="835">
          <cell r="A835" t="str">
            <v>TOTAL ART. 20.14 PROTECTIA MUNCII</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24"/>
  <sheetViews>
    <sheetView view="pageBreakPreview" topLeftCell="A10" zoomScaleSheetLayoutView="100" workbookViewId="0">
      <selection activeCell="I20" sqref="I20"/>
    </sheetView>
  </sheetViews>
  <sheetFormatPr defaultColWidth="8.85546875" defaultRowHeight="15" x14ac:dyDescent="0.25"/>
  <cols>
    <col min="1" max="1" width="14.5703125" customWidth="1"/>
    <col min="2" max="2" width="11.5703125" customWidth="1"/>
    <col min="3" max="3" width="15.42578125" customWidth="1"/>
    <col min="4" max="4" width="30.85546875" customWidth="1"/>
    <col min="5" max="5" width="20.85546875" customWidth="1"/>
    <col min="6" max="6" width="14.5703125" customWidth="1"/>
    <col min="7" max="8" width="12.42578125" customWidth="1"/>
    <col min="9" max="9" width="11.140625" customWidth="1"/>
    <col min="10" max="10" width="11.5703125" customWidth="1"/>
  </cols>
  <sheetData>
    <row r="1" spans="1:11" x14ac:dyDescent="0.25">
      <c r="A1" s="199"/>
      <c r="B1" s="199"/>
      <c r="C1" s="199"/>
      <c r="D1" s="199"/>
      <c r="E1" s="199"/>
      <c r="F1" s="199"/>
      <c r="G1" s="199"/>
      <c r="H1" s="199"/>
      <c r="I1" s="199"/>
    </row>
    <row r="2" spans="1:11" x14ac:dyDescent="0.25">
      <c r="A2" s="200" t="s">
        <v>56</v>
      </c>
      <c r="B2" s="200"/>
      <c r="C2" s="200"/>
      <c r="D2" s="200"/>
      <c r="E2" s="200"/>
    </row>
    <row r="3" spans="1:11" x14ac:dyDescent="0.25">
      <c r="A3" s="201" t="s">
        <v>14</v>
      </c>
      <c r="B3" s="201"/>
      <c r="C3" s="201"/>
    </row>
    <row r="4" spans="1:11" x14ac:dyDescent="0.25">
      <c r="A4" s="1" t="s">
        <v>0</v>
      </c>
      <c r="B4" s="1">
        <v>2020</v>
      </c>
    </row>
    <row r="5" spans="1:11" ht="49.15" customHeight="1" x14ac:dyDescent="0.25">
      <c r="A5" s="197" t="s">
        <v>37</v>
      </c>
      <c r="B5" s="198"/>
      <c r="C5" s="198"/>
      <c r="D5" s="198"/>
      <c r="E5" s="198"/>
      <c r="F5" s="198"/>
      <c r="G5" s="198"/>
      <c r="H5" s="198"/>
      <c r="I5" s="15"/>
    </row>
    <row r="6" spans="1:11" ht="32.25" customHeight="1" x14ac:dyDescent="0.25">
      <c r="A6" s="197" t="s">
        <v>38</v>
      </c>
      <c r="B6" s="198"/>
      <c r="C6" s="198"/>
      <c r="D6" s="198"/>
      <c r="E6" s="198"/>
      <c r="F6" s="198"/>
      <c r="G6" s="198"/>
      <c r="H6" s="198"/>
      <c r="I6" s="15"/>
      <c r="K6" s="3"/>
    </row>
    <row r="7" spans="1:11" ht="48" customHeight="1" x14ac:dyDescent="0.25">
      <c r="A7" s="197" t="s">
        <v>36</v>
      </c>
      <c r="B7" s="198"/>
      <c r="C7" s="198"/>
      <c r="D7" s="198"/>
      <c r="E7" s="198"/>
      <c r="F7" s="198"/>
      <c r="G7" s="198"/>
      <c r="H7" s="198"/>
      <c r="I7" s="15"/>
      <c r="K7" s="3"/>
    </row>
    <row r="8" spans="1:11" ht="19.149999999999999" customHeight="1" x14ac:dyDescent="0.25"/>
    <row r="9" spans="1:11" x14ac:dyDescent="0.25">
      <c r="B9" s="19" t="s">
        <v>260</v>
      </c>
      <c r="C9" s="4"/>
    </row>
    <row r="10" spans="1:11" x14ac:dyDescent="0.25">
      <c r="A10" s="5"/>
      <c r="B10" s="19" t="s">
        <v>261</v>
      </c>
    </row>
    <row r="11" spans="1:11" x14ac:dyDescent="0.25">
      <c r="A11" s="5"/>
      <c r="B11" s="6"/>
    </row>
    <row r="12" spans="1:11" x14ac:dyDescent="0.25">
      <c r="A12" s="19" t="s">
        <v>55</v>
      </c>
    </row>
    <row r="13" spans="1:11" ht="15.75" x14ac:dyDescent="0.25">
      <c r="A13" s="20"/>
    </row>
    <row r="14" spans="1:11" x14ac:dyDescent="0.25">
      <c r="A14" s="21" t="s">
        <v>41</v>
      </c>
      <c r="B14" s="21"/>
    </row>
    <row r="15" spans="1:11" x14ac:dyDescent="0.25">
      <c r="A15" s="21" t="s">
        <v>42</v>
      </c>
      <c r="B15" s="21" t="s">
        <v>216</v>
      </c>
    </row>
    <row r="16" spans="1:11" ht="30" x14ac:dyDescent="0.25">
      <c r="A16" s="21" t="s">
        <v>43</v>
      </c>
      <c r="B16" s="21">
        <v>8</v>
      </c>
    </row>
    <row r="17" spans="1:9" x14ac:dyDescent="0.25">
      <c r="A17" s="5"/>
      <c r="B17" s="2"/>
    </row>
    <row r="18" spans="1:9" ht="48" x14ac:dyDescent="0.25">
      <c r="A18" s="7" t="s">
        <v>48</v>
      </c>
      <c r="B18" s="7" t="s">
        <v>49</v>
      </c>
      <c r="C18" s="7" t="s">
        <v>44</v>
      </c>
      <c r="D18" s="7" t="s">
        <v>51</v>
      </c>
      <c r="E18" s="7" t="s">
        <v>45</v>
      </c>
      <c r="F18" s="23" t="s">
        <v>15</v>
      </c>
      <c r="G18" s="23" t="s">
        <v>52</v>
      </c>
      <c r="H18" s="23" t="s">
        <v>53</v>
      </c>
      <c r="I18" s="23" t="s">
        <v>54</v>
      </c>
    </row>
    <row r="19" spans="1:9" ht="78.75" x14ac:dyDescent="0.25">
      <c r="A19" s="18" t="s">
        <v>39</v>
      </c>
      <c r="B19" s="22" t="s">
        <v>46</v>
      </c>
      <c r="C19" s="18" t="s">
        <v>50</v>
      </c>
      <c r="D19" s="18" t="s">
        <v>47</v>
      </c>
      <c r="E19" s="18" t="s">
        <v>47</v>
      </c>
      <c r="F19" s="24" t="s">
        <v>40</v>
      </c>
      <c r="G19" s="24" t="s">
        <v>40</v>
      </c>
      <c r="H19" s="26"/>
      <c r="I19" s="18" t="s">
        <v>50</v>
      </c>
    </row>
    <row r="20" spans="1:9" s="39" customFormat="1" ht="63.75" x14ac:dyDescent="0.25">
      <c r="A20" s="9">
        <v>8</v>
      </c>
      <c r="B20" s="10" t="s">
        <v>217</v>
      </c>
      <c r="C20" s="44">
        <v>44075</v>
      </c>
      <c r="D20" s="11" t="s">
        <v>221</v>
      </c>
      <c r="E20" s="40" t="s">
        <v>218</v>
      </c>
      <c r="F20" s="42" t="s">
        <v>219</v>
      </c>
      <c r="G20" s="28" t="s">
        <v>220</v>
      </c>
      <c r="H20" s="41"/>
      <c r="I20" s="45">
        <v>44075</v>
      </c>
    </row>
    <row r="21" spans="1:9" x14ac:dyDescent="0.25">
      <c r="A21" s="9"/>
      <c r="B21" s="10"/>
      <c r="C21" s="9"/>
      <c r="D21" s="11"/>
      <c r="E21" s="12"/>
      <c r="F21" s="12"/>
      <c r="G21" s="25"/>
      <c r="H21" s="26"/>
      <c r="I21" s="25"/>
    </row>
    <row r="22" spans="1:9" x14ac:dyDescent="0.25">
      <c r="A22" s="9"/>
      <c r="B22" s="10"/>
      <c r="C22" s="9"/>
      <c r="D22" s="11"/>
      <c r="E22" s="12"/>
      <c r="F22" s="12"/>
      <c r="G22" s="25"/>
      <c r="H22" s="26"/>
      <c r="I22" s="25"/>
    </row>
    <row r="23" spans="1:9" x14ac:dyDescent="0.25">
      <c r="A23" s="7"/>
      <c r="B23" s="13"/>
      <c r="C23" s="7"/>
      <c r="D23" s="14"/>
      <c r="E23" s="12"/>
      <c r="F23" s="12"/>
      <c r="G23" s="25"/>
      <c r="H23" s="26"/>
      <c r="I23" s="25"/>
    </row>
    <row r="24" spans="1:9" x14ac:dyDescent="0.25">
      <c r="E24" s="8"/>
      <c r="F24" s="8"/>
      <c r="H24" s="3"/>
    </row>
  </sheetData>
  <mergeCells count="6">
    <mergeCell ref="A5:H5"/>
    <mergeCell ref="A6:H6"/>
    <mergeCell ref="A7:H7"/>
    <mergeCell ref="A1:I1"/>
    <mergeCell ref="A2:E2"/>
    <mergeCell ref="A3:C3"/>
  </mergeCells>
  <hyperlinks>
    <hyperlink ref="B10" location="'Achizitii directe .... (anul)'!A1" display="Achizitii directe .... (introduceti anul)" xr:uid="{00000000-0004-0000-0000-000000000000}"/>
    <hyperlink ref="B9" location="'PAAP .... (introduceti anul)'!A1" display="PAAP .... (introduceți anul)" xr:uid="{00000000-0004-0000-0000-000001000000}"/>
  </hyperlinks>
  <pageMargins left="0.7" right="0.7" top="0.75" bottom="0.75" header="0.3" footer="0.3"/>
  <pageSetup paperSize="9" scale="68"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C00DB8-B5D6-403F-B826-34936364D48E}">
  <sheetPr>
    <pageSetUpPr fitToPage="1"/>
  </sheetPr>
  <dimension ref="A1:D44"/>
  <sheetViews>
    <sheetView workbookViewId="0">
      <selection activeCell="B34" sqref="B34"/>
    </sheetView>
  </sheetViews>
  <sheetFormatPr defaultRowHeight="15" x14ac:dyDescent="0.25"/>
  <cols>
    <col min="1" max="1" width="80.85546875" bestFit="1" customWidth="1"/>
    <col min="2" max="2" width="13.28515625" customWidth="1"/>
  </cols>
  <sheetData>
    <row r="1" spans="1:2" x14ac:dyDescent="0.25">
      <c r="A1" s="202" t="s">
        <v>1671</v>
      </c>
      <c r="B1" s="202"/>
    </row>
    <row r="2" spans="1:2" x14ac:dyDescent="0.25">
      <c r="A2" s="25" t="str">
        <f>'Anexa achizitii directe 2025'!A12:C12</f>
        <v>TOTAL ART. 20.01.01 FURNITURI DE BIROU CU TVA</v>
      </c>
      <c r="B2" s="12">
        <f>'Anexa achizitii directe 2025'!D12</f>
        <v>86500</v>
      </c>
    </row>
    <row r="3" spans="1:2" x14ac:dyDescent="0.25">
      <c r="A3" s="25" t="str">
        <f>'Anexa achizitii directe 2025'!A14:C14</f>
        <v>TOTAL ART. 20.01.02 MATERIALE DE CURATENIE CU TVA</v>
      </c>
      <c r="B3" s="12">
        <f>'PAAP 2025'!G13</f>
        <v>260000</v>
      </c>
    </row>
    <row r="4" spans="1:2" x14ac:dyDescent="0.25">
      <c r="A4" s="25" t="str">
        <f>'Anexa achizitii directe 2025'!A27:C27</f>
        <v>TOTAL ART. 20.01.03 ILUMINAT, INCALZIT SI FORTA MOTRICA CU TVA</v>
      </c>
      <c r="B4" s="12">
        <f>'Anexa achizitii directe 2025'!D27</f>
        <v>1759094</v>
      </c>
    </row>
    <row r="5" spans="1:2" x14ac:dyDescent="0.25">
      <c r="A5" s="25" t="str">
        <f>'Anexa achizitii directe 2025'!A29:C29</f>
        <v>TOTAL ART. 20.01.04 APA, CANAL SI SALUBRITATE CU TVA</v>
      </c>
      <c r="B5" s="12">
        <f>'Anexa achizitii directe 2025'!D29</f>
        <v>564000</v>
      </c>
    </row>
    <row r="6" spans="1:2" x14ac:dyDescent="0.25">
      <c r="A6" s="25" t="str">
        <f>'Anexa achizitii directe 2025'!A31:C31</f>
        <v>TOTAL ART. 20.01.05 CARBURANTI SI LUBRIFIANTI CU TVA</v>
      </c>
      <c r="B6" s="12">
        <f>'Anexa achizitii directe 2025'!D31</f>
        <v>18000</v>
      </c>
    </row>
    <row r="7" spans="1:2" x14ac:dyDescent="0.25">
      <c r="A7" s="25" t="str">
        <f>'Anexa achizitii directe 2025'!A85:C85</f>
        <v>TOTAL ART. 20.01.06 PIESE DE SCHIMB CU TVA</v>
      </c>
      <c r="B7" s="12">
        <f>'Anexa achizitii directe 2025'!D85</f>
        <v>377000</v>
      </c>
    </row>
    <row r="8" spans="1:2" x14ac:dyDescent="0.25">
      <c r="A8" s="25" t="str">
        <f>'Anexa achizitii directe 2025'!A90:C90</f>
        <v>TOTAL ART. 20.01.08 POSTA, TELECOMUNICATII, RADIO, TV SI INTERNET CU TVA</v>
      </c>
      <c r="B8" s="12">
        <f>'Anexa achizitii directe 2025'!D90</f>
        <v>76000</v>
      </c>
    </row>
    <row r="9" spans="1:2" x14ac:dyDescent="0.25">
      <c r="A9" s="25" t="str">
        <f>'Anexa achizitii directe 2025'!A125:C125</f>
        <v>TOTAL ART. 20.01.09 MATERIALE SI PRESTARI SERVICII CU CARACTER FUNCTIONAL CU TVA</v>
      </c>
      <c r="B9" s="12">
        <f>'PAAP 2025'!G17</f>
        <v>4750125</v>
      </c>
    </row>
    <row r="10" spans="1:2" x14ac:dyDescent="0.25">
      <c r="A10" s="25" t="str">
        <f>'Anexa achizitii directe 2025'!A143:C143</f>
        <v>TOTAL ART. 20.01.30 ALTE BUNURI SI SERVICII PENTRU INTRETINERE SI FUNCTIONARE CU TVA</v>
      </c>
      <c r="B10" s="12">
        <f>'PAAP 2025'!G26</f>
        <v>4939000</v>
      </c>
    </row>
    <row r="11" spans="1:2" x14ac:dyDescent="0.25">
      <c r="A11" s="25" t="str">
        <f>'Anexa achizitii directe 2025'!A146:C146</f>
        <v>TOTAL ART. 20.02 REPARATII CURENTE CU TVA</v>
      </c>
      <c r="B11" s="12">
        <f>'Anexa achizitii directe 2025'!D146</f>
        <v>872000</v>
      </c>
    </row>
    <row r="12" spans="1:2" x14ac:dyDescent="0.25">
      <c r="A12" s="25" t="str">
        <f>'PAAP 2025'!A29:E29</f>
        <v>TOTAL 20.03.01 Hrana pentru oameni</v>
      </c>
      <c r="B12" s="12">
        <f>'PAAP 2025'!G29</f>
        <v>1359120</v>
      </c>
    </row>
    <row r="13" spans="1:2" x14ac:dyDescent="0.25">
      <c r="A13" s="25" t="str">
        <f>'Anexa achizitii directe 2025'!A252:C252</f>
        <v>TOTAL ART. 20.04.01 MEDICAMENTE CU TVA</v>
      </c>
      <c r="B13" s="12">
        <f>'PAAP 2025'!G42</f>
        <v>9939495</v>
      </c>
    </row>
    <row r="14" spans="1:2" x14ac:dyDescent="0.25">
      <c r="A14" s="25" t="str">
        <f>'Anexa achizitii directe 2025'!A300:C300</f>
        <v>TOTAL ART. 20.04.02 MATERIALE SANITARE CU TVA</v>
      </c>
      <c r="B14" s="12">
        <f>'PAAP 2025'!G58</f>
        <v>7874329</v>
      </c>
    </row>
    <row r="15" spans="1:2" ht="13.5" customHeight="1" x14ac:dyDescent="0.25">
      <c r="A15" s="25" t="str">
        <f>'Anexa achizitii directe 2025'!A306:C306</f>
        <v>TOTAL ART. 20.04.03 REACTIVI CU TVA</v>
      </c>
      <c r="B15" s="12">
        <f>'PAAP 2025'!G62</f>
        <v>395000</v>
      </c>
    </row>
    <row r="16" spans="1:2" x14ac:dyDescent="0.25">
      <c r="A16" s="25" t="str">
        <f>'Anexa achizitii directe 2025'!A310:C310</f>
        <v>TOTAL ART. 20.04.04 DEZINFECTANTI CU TVA</v>
      </c>
      <c r="B16" s="12">
        <f>'PAAP 2025'!G67</f>
        <v>459968</v>
      </c>
    </row>
    <row r="17" spans="1:3" hidden="1" x14ac:dyDescent="0.25">
      <c r="A17" s="25" t="str">
        <f>'Anexa achizitii directe 2025'!A312:C312</f>
        <v>TOTAL ART. 20.05.01 UNIFORME SI ECHIPAMENT CU TVA</v>
      </c>
      <c r="B17" s="12">
        <f>'Anexa achizitii directe 2025'!D312</f>
        <v>135000</v>
      </c>
    </row>
    <row r="18" spans="1:3" x14ac:dyDescent="0.25">
      <c r="A18" s="25" t="str">
        <f>'Anexa achizitii directe 2025'!A314:C314</f>
        <v>TOTAL ART. 20.05.03 LENJERIE SI ACCESORII DE PAT CU TVA</v>
      </c>
      <c r="B18" s="12">
        <f>'Anexa achizitii directe 2025'!D314</f>
        <v>110000</v>
      </c>
    </row>
    <row r="19" spans="1:3" x14ac:dyDescent="0.25">
      <c r="A19" s="25" t="str">
        <f>'Anexa achizitii directe 2025'!A429:C429</f>
        <v>TOTAL ART. 20.05.30 ALTE OBIECTE DE INVENTAR CU TVA</v>
      </c>
      <c r="B19" s="12">
        <f>'Anexa achizitii directe 2025'!D429</f>
        <v>162600</v>
      </c>
    </row>
    <row r="20" spans="1:3" x14ac:dyDescent="0.25">
      <c r="A20" s="25" t="str">
        <f>'Anexa achizitii directe 2025'!A431:C431</f>
        <v>TOTAL ART. 20.06.01 DEPLASARI INTERNE, DETASARI, TRANSFERARI CU TVA</v>
      </c>
      <c r="B20" s="12">
        <f>'Anexa achizitii directe 2025'!D431</f>
        <v>5000</v>
      </c>
    </row>
    <row r="21" spans="1:3" x14ac:dyDescent="0.25">
      <c r="A21" s="25" t="str">
        <f>'Anexa achizitii directe 2025'!A451:C451</f>
        <v>TOTAL ART. 20.09 MATERIALE DE LABORATOR CU TVA</v>
      </c>
      <c r="B21" s="12">
        <f>'PAAP 2025'!G71</f>
        <v>127000</v>
      </c>
    </row>
    <row r="22" spans="1:3" hidden="1" x14ac:dyDescent="0.25">
      <c r="A22" s="25" t="s">
        <v>870</v>
      </c>
      <c r="B22" s="12">
        <f>'Anexa achizitii directe 2025'!D453</f>
        <v>0</v>
      </c>
    </row>
    <row r="23" spans="1:3" hidden="1" x14ac:dyDescent="0.25">
      <c r="A23" s="25" t="str">
        <f>'Anexa achizitii directe 2025'!A455:C455</f>
        <v>TOTAL ART. 20.13 PREGATIRE PROFESIONALA CU TVA</v>
      </c>
      <c r="B23" s="12">
        <f>'Anexa achizitii directe 2025'!D455</f>
        <v>0</v>
      </c>
    </row>
    <row r="24" spans="1:3" x14ac:dyDescent="0.25">
      <c r="A24" s="25" t="str">
        <f>'Anexa achizitii directe 2025'!A462:C462</f>
        <v>TOTAL ART. 20.14 PROTECTIA MUNCII CU TVA</v>
      </c>
      <c r="B24" s="12">
        <f>'Anexa achizitii directe 2025'!D462</f>
        <v>132000</v>
      </c>
    </row>
    <row r="25" spans="1:3" hidden="1" x14ac:dyDescent="0.25">
      <c r="A25" s="25" t="s">
        <v>504</v>
      </c>
      <c r="B25" s="12">
        <f>'Anexa achizitii directe 2025'!D464</f>
        <v>0</v>
      </c>
    </row>
    <row r="26" spans="1:3" x14ac:dyDescent="0.25">
      <c r="A26" s="25" t="str">
        <f>'Anexa achizitii directe 2025'!A466:C466</f>
        <v>TOTAL ART. 20.30.04 CHIRII CU TVA</v>
      </c>
      <c r="B26" s="12">
        <f>'Anexa achizitii directe 2025'!D466</f>
        <v>65000</v>
      </c>
    </row>
    <row r="27" spans="1:3" x14ac:dyDescent="0.25">
      <c r="A27" s="25" t="str">
        <f>'Anexa achizitii directe 2025'!A468:C468</f>
        <v>TOTAL ART. 20.30.30 ALTE CHELTUIELI CU TVA</v>
      </c>
      <c r="B27" s="12">
        <f>'Anexa achizitii directe 2025'!D468</f>
        <v>23500</v>
      </c>
    </row>
    <row r="28" spans="1:3" s="113" customFormat="1" x14ac:dyDescent="0.25">
      <c r="A28" s="114" t="s">
        <v>257</v>
      </c>
      <c r="B28" s="115">
        <f>SUM(B2:B27)</f>
        <v>34489731</v>
      </c>
      <c r="C28" s="165"/>
    </row>
    <row r="29" spans="1:3" hidden="1" x14ac:dyDescent="0.25">
      <c r="A29" s="25" t="str">
        <f>'Anexa achizitii directe 2025'!A470:C470</f>
        <v>TOTAL ART. 71.01.01 ACTIVE FIXE CONSTRUCTII  CU TVA</v>
      </c>
      <c r="B29" s="12">
        <f>'Anexa achizitii directe 2025'!D470</f>
        <v>0</v>
      </c>
    </row>
    <row r="30" spans="1:3" x14ac:dyDescent="0.25">
      <c r="A30" s="25" t="str">
        <f>'Anexa achizitii directe 2025'!A478:C478</f>
        <v>TOTAL ART. 71.01.30 ALTE ACTIVE FIXE CU TVA</v>
      </c>
      <c r="B30" s="12">
        <f>'Anexa achizitii directe 2025'!D478</f>
        <v>12000</v>
      </c>
    </row>
    <row r="31" spans="1:3" x14ac:dyDescent="0.25">
      <c r="A31" s="25" t="str">
        <f>'PAAP 2025'!A73:E73</f>
        <v>TOTAL 70.01.02 Masini si echipamente medicale cu TVA</v>
      </c>
      <c r="B31" s="12">
        <f>'PAAP 2025'!G75</f>
        <v>20000</v>
      </c>
    </row>
    <row r="32" spans="1:3" x14ac:dyDescent="0.25">
      <c r="B32" s="8"/>
    </row>
    <row r="33" spans="1:4" x14ac:dyDescent="0.25">
      <c r="A33" s="117" t="s">
        <v>208</v>
      </c>
    </row>
    <row r="34" spans="1:4" x14ac:dyDescent="0.25">
      <c r="A34" s="117" t="s">
        <v>210</v>
      </c>
    </row>
    <row r="38" spans="1:4" x14ac:dyDescent="0.25">
      <c r="A38" s="34" t="s">
        <v>225</v>
      </c>
      <c r="B38" s="34"/>
      <c r="C38" s="34"/>
    </row>
    <row r="39" spans="1:4" x14ac:dyDescent="0.25">
      <c r="A39" s="34" t="s">
        <v>226</v>
      </c>
      <c r="B39" s="34"/>
      <c r="C39" s="34"/>
    </row>
    <row r="43" spans="1:4" x14ac:dyDescent="0.25">
      <c r="A43" s="116" t="s">
        <v>209</v>
      </c>
      <c r="B43" s="116"/>
      <c r="C43" s="116"/>
      <c r="D43" s="116"/>
    </row>
    <row r="44" spans="1:4" x14ac:dyDescent="0.25">
      <c r="A44" s="34" t="s">
        <v>211</v>
      </c>
      <c r="B44" s="34"/>
      <c r="C44" s="34"/>
      <c r="D44" s="34"/>
    </row>
  </sheetData>
  <mergeCells count="1">
    <mergeCell ref="A1:B1"/>
  </mergeCells>
  <pageMargins left="0.25" right="0.25" top="0.75" bottom="0.75" header="0.3" footer="0.3"/>
  <pageSetup paperSize="9" fitToHeight="0"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Q84"/>
  <sheetViews>
    <sheetView view="pageBreakPreview" zoomScaleNormal="85" zoomScaleSheetLayoutView="100" workbookViewId="0">
      <selection activeCell="G69" sqref="G69"/>
    </sheetView>
  </sheetViews>
  <sheetFormatPr defaultColWidth="8.85546875" defaultRowHeight="15" x14ac:dyDescent="0.25"/>
  <cols>
    <col min="1" max="1" width="7.5703125" style="17" customWidth="1"/>
    <col min="2" max="2" width="35.7109375" customWidth="1"/>
    <col min="3" max="3" width="22.85546875" customWidth="1"/>
    <col min="4" max="4" width="19.42578125" customWidth="1"/>
    <col min="5" max="5" width="19.140625" customWidth="1"/>
    <col min="6" max="6" width="19.28515625" customWidth="1"/>
    <col min="7" max="7" width="23.5703125" customWidth="1"/>
    <col min="8" max="9" width="17.42578125" customWidth="1"/>
    <col min="10" max="10" width="23.7109375" customWidth="1"/>
    <col min="11" max="11" width="15.28515625" customWidth="1"/>
    <col min="12" max="13" width="18.140625" customWidth="1"/>
    <col min="14" max="14" width="14.7109375" bestFit="1" customWidth="1"/>
    <col min="15" max="15" width="36.7109375" customWidth="1"/>
    <col min="16" max="16" width="15.7109375" customWidth="1"/>
    <col min="17" max="17" width="18.28515625" bestFit="1" customWidth="1"/>
  </cols>
  <sheetData>
    <row r="1" spans="1:17" s="37" customFormat="1" x14ac:dyDescent="0.25">
      <c r="A1" s="34" t="s">
        <v>212</v>
      </c>
      <c r="B1" s="35"/>
      <c r="C1" s="35"/>
      <c r="D1" s="36"/>
      <c r="H1" s="39"/>
    </row>
    <row r="2" spans="1:17" s="37" customFormat="1" x14ac:dyDescent="0.25">
      <c r="A2" s="34" t="s">
        <v>213</v>
      </c>
      <c r="B2" s="35"/>
      <c r="C2" s="35"/>
      <c r="D2" s="36"/>
      <c r="H2" s="38"/>
    </row>
    <row r="3" spans="1:17" s="37" customFormat="1" x14ac:dyDescent="0.25">
      <c r="A3" s="70" t="s">
        <v>1668</v>
      </c>
      <c r="B3" s="71"/>
      <c r="C3" s="71"/>
      <c r="D3" s="72"/>
      <c r="E3" s="68"/>
      <c r="F3" s="68"/>
      <c r="G3" s="68"/>
      <c r="H3" s="73"/>
      <c r="I3" s="68"/>
      <c r="J3" s="68"/>
      <c r="K3" s="68"/>
      <c r="L3" s="74" t="s">
        <v>214</v>
      </c>
      <c r="M3" s="68"/>
    </row>
    <row r="4" spans="1:17" s="37" customFormat="1" x14ac:dyDescent="0.25">
      <c r="A4" s="70"/>
      <c r="B4" s="71"/>
      <c r="C4" s="71"/>
      <c r="D4" s="72"/>
      <c r="E4" s="68"/>
      <c r="F4" s="68"/>
      <c r="G4" s="68"/>
      <c r="H4" s="73"/>
      <c r="I4" s="68"/>
      <c r="J4" s="68"/>
      <c r="K4" s="68"/>
      <c r="L4" s="75" t="s">
        <v>215</v>
      </c>
      <c r="M4" s="68"/>
    </row>
    <row r="5" spans="1:17" s="37" customFormat="1" x14ac:dyDescent="0.25">
      <c r="A5" s="70"/>
      <c r="B5" s="71"/>
      <c r="C5" s="71"/>
      <c r="D5" s="72"/>
      <c r="E5" s="68"/>
      <c r="F5" s="68"/>
      <c r="G5" s="68"/>
      <c r="H5" s="73"/>
      <c r="I5" s="119"/>
      <c r="J5" s="68"/>
      <c r="K5" s="68"/>
      <c r="L5" s="74" t="s">
        <v>429</v>
      </c>
      <c r="M5" s="68"/>
    </row>
    <row r="6" spans="1:17" ht="15.75" thickBot="1" x14ac:dyDescent="0.3">
      <c r="A6" s="211" t="s">
        <v>1670</v>
      </c>
      <c r="B6" s="211"/>
      <c r="C6" s="211"/>
      <c r="D6" s="211"/>
      <c r="E6" s="211"/>
      <c r="F6" s="211"/>
      <c r="G6" s="211"/>
      <c r="H6" s="211"/>
      <c r="I6" s="211"/>
      <c r="J6" s="211"/>
      <c r="K6" s="211"/>
      <c r="L6" s="211"/>
      <c r="M6" s="211"/>
    </row>
    <row r="7" spans="1:17" ht="31.9" customHeight="1" thickTop="1" x14ac:dyDescent="0.25">
      <c r="A7" s="212" t="s">
        <v>1</v>
      </c>
      <c r="B7" s="214" t="s">
        <v>16</v>
      </c>
      <c r="C7" s="216" t="s">
        <v>17</v>
      </c>
      <c r="D7" s="218" t="s">
        <v>18</v>
      </c>
      <c r="E7" s="218" t="s">
        <v>3</v>
      </c>
      <c r="F7" s="218" t="s">
        <v>19</v>
      </c>
      <c r="G7" s="218"/>
      <c r="H7" s="220" t="s">
        <v>20</v>
      </c>
      <c r="I7" s="218" t="s">
        <v>21</v>
      </c>
      <c r="J7" s="218" t="s">
        <v>22</v>
      </c>
      <c r="K7" s="214" t="s">
        <v>4</v>
      </c>
      <c r="L7" s="222" t="s">
        <v>23</v>
      </c>
      <c r="M7" s="209" t="s">
        <v>24</v>
      </c>
    </row>
    <row r="8" spans="1:17" ht="55.9" customHeight="1" x14ac:dyDescent="0.25">
      <c r="A8" s="213"/>
      <c r="B8" s="215"/>
      <c r="C8" s="217"/>
      <c r="D8" s="219"/>
      <c r="E8" s="219"/>
      <c r="F8" s="76" t="s">
        <v>5</v>
      </c>
      <c r="G8" s="76" t="s">
        <v>6</v>
      </c>
      <c r="H8" s="221"/>
      <c r="I8" s="219"/>
      <c r="J8" s="219"/>
      <c r="K8" s="215"/>
      <c r="L8" s="223"/>
      <c r="M8" s="210"/>
      <c r="O8" s="16" t="s">
        <v>2</v>
      </c>
      <c r="P8" s="16" t="s">
        <v>3</v>
      </c>
      <c r="Q8" s="16" t="s">
        <v>4</v>
      </c>
    </row>
    <row r="9" spans="1:17" ht="276" x14ac:dyDescent="0.25">
      <c r="A9" s="51">
        <v>1</v>
      </c>
      <c r="B9" s="53" t="s">
        <v>66</v>
      </c>
      <c r="C9" s="61" t="s">
        <v>124</v>
      </c>
      <c r="D9" s="77" t="s">
        <v>25</v>
      </c>
      <c r="E9" s="77" t="s">
        <v>9</v>
      </c>
      <c r="F9" s="78">
        <v>10000</v>
      </c>
      <c r="G9" s="78">
        <f>260000/1.21-G10-G12/1.21</f>
        <v>108717.13305785126</v>
      </c>
      <c r="H9" s="79" t="s">
        <v>58</v>
      </c>
      <c r="I9" s="80" t="s">
        <v>61</v>
      </c>
      <c r="J9" s="81" t="s">
        <v>60</v>
      </c>
      <c r="K9" s="81" t="s">
        <v>8</v>
      </c>
      <c r="L9" s="81" t="s">
        <v>62</v>
      </c>
      <c r="M9" s="82">
        <v>2024</v>
      </c>
      <c r="O9" s="16"/>
      <c r="P9" s="16"/>
      <c r="Q9" s="16"/>
    </row>
    <row r="10" spans="1:17" ht="72" x14ac:dyDescent="0.25">
      <c r="A10" s="51">
        <v>2</v>
      </c>
      <c r="B10" s="53" t="s">
        <v>868</v>
      </c>
      <c r="C10" s="61" t="s">
        <v>869</v>
      </c>
      <c r="D10" s="77" t="s">
        <v>28</v>
      </c>
      <c r="E10" s="77" t="s">
        <v>9</v>
      </c>
      <c r="F10" s="78">
        <v>1</v>
      </c>
      <c r="G10" s="78">
        <f>144272.4/12*7</f>
        <v>84158.9</v>
      </c>
      <c r="H10" s="79" t="s">
        <v>58</v>
      </c>
      <c r="I10" s="80" t="s">
        <v>61</v>
      </c>
      <c r="J10" s="81" t="s">
        <v>60</v>
      </c>
      <c r="K10" s="81" t="s">
        <v>8</v>
      </c>
      <c r="L10" s="81" t="s">
        <v>62</v>
      </c>
      <c r="M10" s="82">
        <v>2024</v>
      </c>
      <c r="O10" s="16"/>
      <c r="P10" s="16"/>
      <c r="Q10" s="16"/>
    </row>
    <row r="11" spans="1:17" x14ac:dyDescent="0.25">
      <c r="A11" s="203" t="s">
        <v>391</v>
      </c>
      <c r="B11" s="204"/>
      <c r="C11" s="204"/>
      <c r="D11" s="204"/>
      <c r="E11" s="205"/>
      <c r="F11" s="78"/>
      <c r="G11" s="83">
        <f>SUM(G9:G10)*1.21</f>
        <v>233380</v>
      </c>
      <c r="H11" s="79"/>
      <c r="I11" s="80"/>
      <c r="J11" s="81"/>
      <c r="K11" s="81"/>
      <c r="L11" s="81"/>
      <c r="M11" s="82"/>
      <c r="O11" s="16"/>
      <c r="P11" s="16" t="s">
        <v>7</v>
      </c>
      <c r="Q11" s="16" t="s">
        <v>8</v>
      </c>
    </row>
    <row r="12" spans="1:17" x14ac:dyDescent="0.25">
      <c r="A12" s="203" t="s">
        <v>392</v>
      </c>
      <c r="B12" s="204"/>
      <c r="C12" s="204"/>
      <c r="D12" s="204"/>
      <c r="E12" s="205"/>
      <c r="F12" s="78"/>
      <c r="G12" s="83">
        <f>'Anexa achizitii directe 2025'!D14</f>
        <v>26620</v>
      </c>
      <c r="H12" s="79"/>
      <c r="I12" s="80"/>
      <c r="J12" s="81"/>
      <c r="K12" s="81"/>
      <c r="L12" s="81"/>
      <c r="M12" s="82"/>
      <c r="N12" s="43"/>
      <c r="O12" s="16" t="s">
        <v>25</v>
      </c>
      <c r="P12" s="16" t="s">
        <v>9</v>
      </c>
      <c r="Q12" s="16" t="s">
        <v>10</v>
      </c>
    </row>
    <row r="13" spans="1:17" x14ac:dyDescent="0.25">
      <c r="A13" s="203" t="s">
        <v>393</v>
      </c>
      <c r="B13" s="204"/>
      <c r="C13" s="204"/>
      <c r="D13" s="204"/>
      <c r="E13" s="205"/>
      <c r="F13" s="78"/>
      <c r="G13" s="83">
        <f>SUM(G11:G12)</f>
        <v>260000</v>
      </c>
      <c r="H13" s="79"/>
      <c r="I13" s="80"/>
      <c r="J13" s="81"/>
      <c r="K13" s="81"/>
      <c r="L13" s="81"/>
      <c r="M13" s="82"/>
      <c r="O13" s="16" t="s">
        <v>26</v>
      </c>
      <c r="P13" s="16"/>
      <c r="Q13" s="16"/>
    </row>
    <row r="14" spans="1:17" ht="36" x14ac:dyDescent="0.25">
      <c r="A14" s="51">
        <v>3</v>
      </c>
      <c r="B14" s="53" t="s">
        <v>57</v>
      </c>
      <c r="C14" s="61" t="s">
        <v>94</v>
      </c>
      <c r="D14" s="77" t="s">
        <v>25</v>
      </c>
      <c r="E14" s="77" t="s">
        <v>9</v>
      </c>
      <c r="F14" s="78">
        <f>25000*12</f>
        <v>300000</v>
      </c>
      <c r="G14" s="78">
        <f>4750125/1.21-(360000*12)+360000*12-G16/1.21</f>
        <v>3050158.4638572126</v>
      </c>
      <c r="H14" s="79" t="s">
        <v>58</v>
      </c>
      <c r="I14" s="80" t="s">
        <v>61</v>
      </c>
      <c r="J14" s="81" t="s">
        <v>60</v>
      </c>
      <c r="K14" s="81" t="s">
        <v>8</v>
      </c>
      <c r="L14" s="81" t="s">
        <v>62</v>
      </c>
      <c r="M14" s="82">
        <v>2024</v>
      </c>
      <c r="O14" s="16"/>
      <c r="P14" s="16"/>
      <c r="Q14" s="16"/>
    </row>
    <row r="15" spans="1:17" x14ac:dyDescent="0.25">
      <c r="A15" s="203" t="s">
        <v>159</v>
      </c>
      <c r="B15" s="204"/>
      <c r="C15" s="204"/>
      <c r="D15" s="204"/>
      <c r="E15" s="205"/>
      <c r="F15" s="78"/>
      <c r="G15" s="83">
        <f>SUM(G14:G14)*1.21</f>
        <v>3690691.7412672271</v>
      </c>
      <c r="H15" s="79"/>
      <c r="I15" s="80"/>
      <c r="J15" s="81"/>
      <c r="K15" s="81"/>
      <c r="L15" s="81"/>
      <c r="M15" s="82"/>
      <c r="O15" s="16"/>
      <c r="P15" s="16" t="s">
        <v>7</v>
      </c>
      <c r="Q15" s="16" t="s">
        <v>8</v>
      </c>
    </row>
    <row r="16" spans="1:17" x14ac:dyDescent="0.25">
      <c r="A16" s="203" t="s">
        <v>170</v>
      </c>
      <c r="B16" s="204"/>
      <c r="C16" s="204"/>
      <c r="D16" s="204"/>
      <c r="E16" s="205"/>
      <c r="F16" s="78"/>
      <c r="G16" s="83">
        <f>0+'Anexa achizitii directe 2025'!D125</f>
        <v>1059433.2587327731</v>
      </c>
      <c r="H16" s="79"/>
      <c r="I16" s="80"/>
      <c r="J16" s="81"/>
      <c r="K16" s="81"/>
      <c r="L16" s="81"/>
      <c r="M16" s="82"/>
      <c r="N16" s="43"/>
      <c r="O16" s="16" t="s">
        <v>25</v>
      </c>
      <c r="P16" s="16" t="s">
        <v>9</v>
      </c>
      <c r="Q16" s="16" t="s">
        <v>10</v>
      </c>
    </row>
    <row r="17" spans="1:17" x14ac:dyDescent="0.25">
      <c r="A17" s="203" t="s">
        <v>160</v>
      </c>
      <c r="B17" s="204"/>
      <c r="C17" s="204"/>
      <c r="D17" s="204"/>
      <c r="E17" s="205"/>
      <c r="F17" s="78"/>
      <c r="G17" s="83">
        <f>SUM(G15:G16)</f>
        <v>4750125</v>
      </c>
      <c r="H17" s="79"/>
      <c r="I17" s="80"/>
      <c r="J17" s="81"/>
      <c r="K17" s="81"/>
      <c r="L17" s="81"/>
      <c r="M17" s="82"/>
      <c r="O17" s="16" t="s">
        <v>26</v>
      </c>
      <c r="P17" s="16"/>
      <c r="Q17" s="16"/>
    </row>
    <row r="18" spans="1:17" ht="24" x14ac:dyDescent="0.25">
      <c r="A18" s="51">
        <v>4</v>
      </c>
      <c r="B18" s="52" t="s">
        <v>149</v>
      </c>
      <c r="C18" s="61" t="s">
        <v>150</v>
      </c>
      <c r="D18" s="77" t="s">
        <v>25</v>
      </c>
      <c r="E18" s="77" t="s">
        <v>9</v>
      </c>
      <c r="F18" s="78">
        <v>1</v>
      </c>
      <c r="G18" s="78">
        <f>4939000/1.21-G19-G20-G21-G22-G23-G25/1.21+(1018891.96+579036)-(1018891.96+579036)</f>
        <v>533723.5151515156</v>
      </c>
      <c r="H18" s="79" t="s">
        <v>58</v>
      </c>
      <c r="I18" s="80" t="s">
        <v>61</v>
      </c>
      <c r="J18" s="81" t="s">
        <v>60</v>
      </c>
      <c r="K18" s="69"/>
      <c r="L18" s="81" t="s">
        <v>62</v>
      </c>
      <c r="M18" s="82">
        <v>2024</v>
      </c>
      <c r="O18" s="16" t="s">
        <v>27</v>
      </c>
      <c r="P18" s="16"/>
      <c r="Q18" s="16"/>
    </row>
    <row r="19" spans="1:17" ht="120" x14ac:dyDescent="0.25">
      <c r="A19" s="51">
        <v>5</v>
      </c>
      <c r="B19" s="53" t="s">
        <v>426</v>
      </c>
      <c r="C19" s="61" t="s">
        <v>154</v>
      </c>
      <c r="D19" s="77" t="s">
        <v>29</v>
      </c>
      <c r="E19" s="77" t="s">
        <v>9</v>
      </c>
      <c r="F19" s="78">
        <v>1</v>
      </c>
      <c r="G19" s="78">
        <f>252000</f>
        <v>252000</v>
      </c>
      <c r="H19" s="79" t="s">
        <v>58</v>
      </c>
      <c r="I19" s="80" t="s">
        <v>61</v>
      </c>
      <c r="J19" s="81" t="s">
        <v>60</v>
      </c>
      <c r="K19" s="81" t="s">
        <v>10</v>
      </c>
      <c r="L19" s="81" t="s">
        <v>62</v>
      </c>
      <c r="M19" s="82">
        <v>2023</v>
      </c>
      <c r="O19" s="16" t="s">
        <v>11</v>
      </c>
      <c r="P19" s="16"/>
      <c r="Q19" s="16"/>
    </row>
    <row r="20" spans="1:17" ht="48" x14ac:dyDescent="0.25">
      <c r="A20" s="51">
        <v>6</v>
      </c>
      <c r="B20" s="53" t="s">
        <v>155</v>
      </c>
      <c r="C20" s="61" t="s">
        <v>156</v>
      </c>
      <c r="D20" s="77" t="s">
        <v>30</v>
      </c>
      <c r="E20" s="77" t="s">
        <v>7</v>
      </c>
      <c r="F20" s="78">
        <v>1</v>
      </c>
      <c r="G20" s="78">
        <f>110000*8</f>
        <v>880000</v>
      </c>
      <c r="H20" s="79" t="s">
        <v>58</v>
      </c>
      <c r="I20" s="77">
        <v>2020</v>
      </c>
      <c r="J20" s="81" t="s">
        <v>60</v>
      </c>
      <c r="K20" s="81" t="s">
        <v>10</v>
      </c>
      <c r="L20" s="81" t="s">
        <v>70</v>
      </c>
      <c r="M20" s="82">
        <v>2025</v>
      </c>
      <c r="O20" s="16" t="s">
        <v>12</v>
      </c>
      <c r="P20" s="16"/>
      <c r="Q20" s="16"/>
    </row>
    <row r="21" spans="1:17" ht="36" x14ac:dyDescent="0.25">
      <c r="A21" s="51">
        <v>7</v>
      </c>
      <c r="B21" s="53" t="s">
        <v>157</v>
      </c>
      <c r="C21" s="61" t="s">
        <v>158</v>
      </c>
      <c r="D21" s="77" t="s">
        <v>25</v>
      </c>
      <c r="E21" s="77" t="s">
        <v>9</v>
      </c>
      <c r="F21" s="78">
        <v>1</v>
      </c>
      <c r="G21" s="84">
        <f>1935600/12*8</f>
        <v>1290400</v>
      </c>
      <c r="H21" s="79" t="s">
        <v>58</v>
      </c>
      <c r="I21" s="77">
        <v>2020</v>
      </c>
      <c r="J21" s="81" t="s">
        <v>60</v>
      </c>
      <c r="K21" s="81" t="s">
        <v>8</v>
      </c>
      <c r="L21" s="81" t="s">
        <v>62</v>
      </c>
      <c r="M21" s="82">
        <v>2024</v>
      </c>
      <c r="O21" s="16" t="s">
        <v>28</v>
      </c>
      <c r="P21" s="16"/>
      <c r="Q21" s="16"/>
    </row>
    <row r="22" spans="1:17" ht="48" x14ac:dyDescent="0.25">
      <c r="A22" s="51">
        <v>8</v>
      </c>
      <c r="B22" s="53" t="s">
        <v>163</v>
      </c>
      <c r="C22" s="61" t="s">
        <v>164</v>
      </c>
      <c r="D22" s="77" t="s">
        <v>30</v>
      </c>
      <c r="E22" s="77" t="s">
        <v>9</v>
      </c>
      <c r="F22" s="78">
        <v>1</v>
      </c>
      <c r="G22" s="78">
        <f>205000/12*8</f>
        <v>136666.66666666666</v>
      </c>
      <c r="H22" s="79" t="s">
        <v>58</v>
      </c>
      <c r="I22" s="80" t="s">
        <v>61</v>
      </c>
      <c r="J22" s="80" t="s">
        <v>61</v>
      </c>
      <c r="K22" s="81" t="s">
        <v>10</v>
      </c>
      <c r="L22" s="81" t="s">
        <v>62</v>
      </c>
      <c r="M22" s="82">
        <v>2024</v>
      </c>
      <c r="O22" s="16" t="s">
        <v>29</v>
      </c>
      <c r="P22" s="16"/>
      <c r="Q22" s="16"/>
    </row>
    <row r="23" spans="1:17" ht="48" x14ac:dyDescent="0.25">
      <c r="A23" s="51">
        <v>9</v>
      </c>
      <c r="B23" s="61" t="s">
        <v>104</v>
      </c>
      <c r="C23" s="61" t="s">
        <v>115</v>
      </c>
      <c r="D23" s="77" t="s">
        <v>25</v>
      </c>
      <c r="E23" s="77" t="s">
        <v>9</v>
      </c>
      <c r="F23" s="78">
        <v>1</v>
      </c>
      <c r="G23" s="78">
        <f>2960832/48*8</f>
        <v>493472</v>
      </c>
      <c r="H23" s="79" t="s">
        <v>58</v>
      </c>
      <c r="I23" s="80" t="s">
        <v>61</v>
      </c>
      <c r="J23" s="81" t="s">
        <v>165</v>
      </c>
      <c r="K23" s="81" t="s">
        <v>8</v>
      </c>
      <c r="L23" s="81" t="s">
        <v>62</v>
      </c>
      <c r="M23" s="82">
        <v>2025</v>
      </c>
      <c r="O23" s="16" t="s">
        <v>29</v>
      </c>
      <c r="P23" s="16"/>
      <c r="Q23" s="16"/>
    </row>
    <row r="24" spans="1:17" ht="18.75" customHeight="1" x14ac:dyDescent="0.25">
      <c r="A24" s="203" t="s">
        <v>161</v>
      </c>
      <c r="B24" s="204"/>
      <c r="C24" s="204"/>
      <c r="D24" s="204"/>
      <c r="E24" s="205"/>
      <c r="F24" s="78"/>
      <c r="G24" s="83">
        <f>SUM(G18:G23)*1.21</f>
        <v>4339377.24</v>
      </c>
      <c r="H24" s="79"/>
      <c r="I24" s="80"/>
      <c r="J24" s="81"/>
      <c r="K24" s="81"/>
      <c r="L24" s="81"/>
      <c r="M24" s="82"/>
      <c r="O24" s="16" t="s">
        <v>30</v>
      </c>
      <c r="P24" s="16"/>
      <c r="Q24" s="16"/>
    </row>
    <row r="25" spans="1:17" x14ac:dyDescent="0.25">
      <c r="A25" s="203" t="s">
        <v>182</v>
      </c>
      <c r="B25" s="204"/>
      <c r="C25" s="204"/>
      <c r="D25" s="204"/>
      <c r="E25" s="205"/>
      <c r="F25" s="78"/>
      <c r="G25" s="83">
        <f>0+'Anexa achizitii directe 2025'!D143</f>
        <v>599622.76</v>
      </c>
      <c r="H25" s="79"/>
      <c r="I25" s="80"/>
      <c r="J25" s="81"/>
      <c r="K25" s="81"/>
      <c r="L25" s="81"/>
      <c r="M25" s="82"/>
    </row>
    <row r="26" spans="1:17" x14ac:dyDescent="0.25">
      <c r="A26" s="203" t="s">
        <v>162</v>
      </c>
      <c r="B26" s="204"/>
      <c r="C26" s="204"/>
      <c r="D26" s="204"/>
      <c r="E26" s="205"/>
      <c r="F26" s="78"/>
      <c r="G26" s="83">
        <f>SUM(G24:G25)</f>
        <v>4939000</v>
      </c>
      <c r="H26" s="79"/>
      <c r="I26" s="80"/>
      <c r="J26" s="81"/>
      <c r="K26" s="81"/>
      <c r="L26" s="81"/>
      <c r="M26" s="82"/>
    </row>
    <row r="27" spans="1:17" ht="48" x14ac:dyDescent="0.25">
      <c r="A27" s="85">
        <v>10</v>
      </c>
      <c r="B27" s="53" t="s">
        <v>163</v>
      </c>
      <c r="C27" s="61" t="s">
        <v>164</v>
      </c>
      <c r="D27" s="77" t="s">
        <v>29</v>
      </c>
      <c r="E27" s="77" t="s">
        <v>7</v>
      </c>
      <c r="F27" s="78">
        <f>686501</f>
        <v>686501</v>
      </c>
      <c r="G27" s="78">
        <v>1359120</v>
      </c>
      <c r="H27" s="79" t="s">
        <v>58</v>
      </c>
      <c r="I27" s="77">
        <v>2020</v>
      </c>
      <c r="J27" s="81" t="s">
        <v>165</v>
      </c>
      <c r="K27" s="81" t="s">
        <v>10</v>
      </c>
      <c r="L27" s="81" t="s">
        <v>62</v>
      </c>
      <c r="M27" s="82">
        <v>2024</v>
      </c>
    </row>
    <row r="28" spans="1:17" x14ac:dyDescent="0.25">
      <c r="A28" s="203" t="s">
        <v>166</v>
      </c>
      <c r="B28" s="204"/>
      <c r="C28" s="204"/>
      <c r="D28" s="204"/>
      <c r="E28" s="205"/>
      <c r="F28" s="78"/>
      <c r="G28" s="83">
        <f>SUM(G27)</f>
        <v>1359120</v>
      </c>
      <c r="H28" s="79"/>
      <c r="I28" s="80"/>
      <c r="J28" s="81"/>
      <c r="K28" s="81"/>
      <c r="L28" s="81"/>
      <c r="M28" s="82"/>
    </row>
    <row r="29" spans="1:17" x14ac:dyDescent="0.25">
      <c r="A29" s="203" t="s">
        <v>167</v>
      </c>
      <c r="B29" s="204"/>
      <c r="C29" s="204"/>
      <c r="D29" s="204"/>
      <c r="E29" s="205"/>
      <c r="F29" s="78"/>
      <c r="G29" s="83">
        <f>SUM(G28)</f>
        <v>1359120</v>
      </c>
      <c r="H29" s="79"/>
      <c r="I29" s="80"/>
      <c r="J29" s="81"/>
      <c r="K29" s="81"/>
      <c r="L29" s="81"/>
      <c r="M29" s="82"/>
    </row>
    <row r="30" spans="1:17" s="127" customFormat="1" ht="24" x14ac:dyDescent="0.25">
      <c r="A30" s="120">
        <v>11</v>
      </c>
      <c r="B30" s="61" t="s">
        <v>497</v>
      </c>
      <c r="C30" s="61" t="s">
        <v>153</v>
      </c>
      <c r="D30" s="121" t="s">
        <v>25</v>
      </c>
      <c r="E30" s="121" t="s">
        <v>9</v>
      </c>
      <c r="F30" s="122">
        <v>1000</v>
      </c>
      <c r="G30" s="122">
        <f>500000/12*4</f>
        <v>166666.66666666666</v>
      </c>
      <c r="H30" s="123" t="s">
        <v>58</v>
      </c>
      <c r="I30" s="124" t="s">
        <v>61</v>
      </c>
      <c r="J30" s="124" t="s">
        <v>61</v>
      </c>
      <c r="K30" s="125"/>
      <c r="L30" s="124" t="s">
        <v>944</v>
      </c>
      <c r="M30" s="126">
        <v>2023</v>
      </c>
    </row>
    <row r="31" spans="1:17" s="127" customFormat="1" ht="24" x14ac:dyDescent="0.25">
      <c r="A31" s="120">
        <v>12</v>
      </c>
      <c r="B31" s="61" t="s">
        <v>498</v>
      </c>
      <c r="C31" s="61" t="s">
        <v>153</v>
      </c>
      <c r="D31" s="121" t="s">
        <v>25</v>
      </c>
      <c r="E31" s="121" t="s">
        <v>9</v>
      </c>
      <c r="F31" s="122">
        <v>1000</v>
      </c>
      <c r="G31" s="122">
        <f>500000/12*7</f>
        <v>291666.66666666663</v>
      </c>
      <c r="H31" s="123" t="s">
        <v>58</v>
      </c>
      <c r="I31" s="124" t="s">
        <v>61</v>
      </c>
      <c r="J31" s="125" t="s">
        <v>60</v>
      </c>
      <c r="K31" s="125"/>
      <c r="L31" s="124" t="s">
        <v>944</v>
      </c>
      <c r="M31" s="126">
        <v>2022</v>
      </c>
    </row>
    <row r="32" spans="1:17" s="127" customFormat="1" ht="24" x14ac:dyDescent="0.25">
      <c r="A32" s="120">
        <v>13</v>
      </c>
      <c r="B32" s="61" t="s">
        <v>1481</v>
      </c>
      <c r="C32" s="61" t="s">
        <v>153</v>
      </c>
      <c r="D32" s="121" t="s">
        <v>25</v>
      </c>
      <c r="E32" s="121" t="s">
        <v>9</v>
      </c>
      <c r="F32" s="122">
        <v>1000</v>
      </c>
      <c r="G32" s="122">
        <f>900000/12*7</f>
        <v>525000</v>
      </c>
      <c r="H32" s="123" t="s">
        <v>58</v>
      </c>
      <c r="I32" s="124" t="s">
        <v>61</v>
      </c>
      <c r="J32" s="125" t="s">
        <v>60</v>
      </c>
      <c r="K32" s="125"/>
      <c r="L32" s="124" t="s">
        <v>944</v>
      </c>
      <c r="M32" s="126">
        <v>2024</v>
      </c>
    </row>
    <row r="33" spans="1:13" s="127" customFormat="1" ht="24" x14ac:dyDescent="0.25">
      <c r="A33" s="120">
        <v>14</v>
      </c>
      <c r="B33" s="61" t="s">
        <v>1482</v>
      </c>
      <c r="C33" s="61" t="s">
        <v>153</v>
      </c>
      <c r="D33" s="121" t="s">
        <v>25</v>
      </c>
      <c r="E33" s="121" t="s">
        <v>9</v>
      </c>
      <c r="F33" s="122">
        <v>1000</v>
      </c>
      <c r="G33" s="122">
        <f>600000/12*7</f>
        <v>350000</v>
      </c>
      <c r="H33" s="123" t="s">
        <v>58</v>
      </c>
      <c r="I33" s="124" t="s">
        <v>61</v>
      </c>
      <c r="J33" s="125" t="s">
        <v>60</v>
      </c>
      <c r="K33" s="125"/>
      <c r="L33" s="124" t="s">
        <v>944</v>
      </c>
      <c r="M33" s="126">
        <v>2025</v>
      </c>
    </row>
    <row r="34" spans="1:13" s="127" customFormat="1" ht="24" x14ac:dyDescent="0.25">
      <c r="A34" s="120">
        <v>15</v>
      </c>
      <c r="B34" s="61" t="s">
        <v>1483</v>
      </c>
      <c r="C34" s="61" t="s">
        <v>1484</v>
      </c>
      <c r="D34" s="121" t="s">
        <v>25</v>
      </c>
      <c r="E34" s="121" t="s">
        <v>9</v>
      </c>
      <c r="F34" s="122">
        <v>1000</v>
      </c>
      <c r="G34" s="122">
        <f>4039756.8/24*7-10000</f>
        <v>1168262.3999999999</v>
      </c>
      <c r="H34" s="123" t="s">
        <v>58</v>
      </c>
      <c r="I34" s="124" t="s">
        <v>61</v>
      </c>
      <c r="J34" s="125" t="s">
        <v>60</v>
      </c>
      <c r="K34" s="125"/>
      <c r="L34" s="124" t="s">
        <v>944</v>
      </c>
      <c r="M34" s="126">
        <v>2025</v>
      </c>
    </row>
    <row r="35" spans="1:13" s="127" customFormat="1" ht="24" x14ac:dyDescent="0.25">
      <c r="A35" s="120">
        <v>16</v>
      </c>
      <c r="B35" s="61" t="s">
        <v>1480</v>
      </c>
      <c r="C35" s="61" t="s">
        <v>410</v>
      </c>
      <c r="D35" s="121" t="s">
        <v>25</v>
      </c>
      <c r="E35" s="121" t="s">
        <v>9</v>
      </c>
      <c r="F35" s="122">
        <v>1000</v>
      </c>
      <c r="G35" s="122">
        <f>500000/12*7</f>
        <v>291666.66666666663</v>
      </c>
      <c r="H35" s="123" t="s">
        <v>58</v>
      </c>
      <c r="I35" s="124" t="s">
        <v>61</v>
      </c>
      <c r="J35" s="125" t="s">
        <v>60</v>
      </c>
      <c r="K35" s="125"/>
      <c r="L35" s="124" t="s">
        <v>944</v>
      </c>
      <c r="M35" s="126">
        <v>2024</v>
      </c>
    </row>
    <row r="36" spans="1:13" s="127" customFormat="1" ht="24" x14ac:dyDescent="0.25">
      <c r="A36" s="120">
        <v>17</v>
      </c>
      <c r="B36" s="61" t="s">
        <v>850</v>
      </c>
      <c r="C36" s="61" t="s">
        <v>410</v>
      </c>
      <c r="D36" s="121" t="s">
        <v>25</v>
      </c>
      <c r="E36" s="121" t="s">
        <v>9</v>
      </c>
      <c r="F36" s="122">
        <v>1000</v>
      </c>
      <c r="G36" s="122">
        <f>(9939495/1.11)-G35-G34-G33-G32-G31-G30-G39-(G41/1.11)-G37-G38</f>
        <v>1581359.8866666658</v>
      </c>
      <c r="H36" s="123" t="s">
        <v>58</v>
      </c>
      <c r="I36" s="124" t="s">
        <v>61</v>
      </c>
      <c r="J36" s="125" t="s">
        <v>60</v>
      </c>
      <c r="K36" s="125"/>
      <c r="L36" s="124" t="s">
        <v>944</v>
      </c>
      <c r="M36" s="126">
        <v>2023</v>
      </c>
    </row>
    <row r="37" spans="1:13" s="127" customFormat="1" ht="24" x14ac:dyDescent="0.25">
      <c r="A37" s="120">
        <v>18</v>
      </c>
      <c r="B37" s="61" t="s">
        <v>945</v>
      </c>
      <c r="C37" s="61" t="s">
        <v>410</v>
      </c>
      <c r="D37" s="121" t="s">
        <v>25</v>
      </c>
      <c r="E37" s="121" t="s">
        <v>9</v>
      </c>
      <c r="F37" s="122">
        <v>1000</v>
      </c>
      <c r="G37" s="122">
        <f>6200000/12*5</f>
        <v>2583333.3333333335</v>
      </c>
      <c r="H37" s="123" t="s">
        <v>58</v>
      </c>
      <c r="I37" s="124" t="s">
        <v>61</v>
      </c>
      <c r="J37" s="125" t="s">
        <v>60</v>
      </c>
      <c r="K37" s="125"/>
      <c r="L37" s="124" t="s">
        <v>944</v>
      </c>
      <c r="M37" s="126">
        <v>2025</v>
      </c>
    </row>
    <row r="38" spans="1:13" s="127" customFormat="1" ht="24" x14ac:dyDescent="0.25">
      <c r="A38" s="120">
        <v>19</v>
      </c>
      <c r="B38" s="61" t="s">
        <v>1479</v>
      </c>
      <c r="C38" s="61" t="s">
        <v>421</v>
      </c>
      <c r="D38" s="121" t="s">
        <v>25</v>
      </c>
      <c r="E38" s="121" t="s">
        <v>9</v>
      </c>
      <c r="F38" s="122">
        <v>1000</v>
      </c>
      <c r="G38" s="122">
        <f>9531820.8/36*6-1000000</f>
        <v>588636.80000000028</v>
      </c>
      <c r="H38" s="123" t="s">
        <v>58</v>
      </c>
      <c r="I38" s="124" t="s">
        <v>61</v>
      </c>
      <c r="J38" s="125" t="s">
        <v>60</v>
      </c>
      <c r="K38" s="125"/>
      <c r="L38" s="124" t="s">
        <v>944</v>
      </c>
      <c r="M38" s="126">
        <v>2025</v>
      </c>
    </row>
    <row r="39" spans="1:13" s="127" customFormat="1" ht="24" x14ac:dyDescent="0.25">
      <c r="A39" s="120">
        <v>20</v>
      </c>
      <c r="B39" s="61" t="s">
        <v>942</v>
      </c>
      <c r="C39" s="61" t="s">
        <v>943</v>
      </c>
      <c r="D39" s="121" t="s">
        <v>25</v>
      </c>
      <c r="E39" s="121" t="s">
        <v>9</v>
      </c>
      <c r="F39" s="122">
        <v>1000</v>
      </c>
      <c r="G39" s="122">
        <f>900000/12*7</f>
        <v>525000</v>
      </c>
      <c r="H39" s="123" t="s">
        <v>58</v>
      </c>
      <c r="I39" s="124" t="s">
        <v>61</v>
      </c>
      <c r="J39" s="125" t="s">
        <v>60</v>
      </c>
      <c r="K39" s="125"/>
      <c r="L39" s="124" t="s">
        <v>944</v>
      </c>
      <c r="M39" s="126">
        <v>2025</v>
      </c>
    </row>
    <row r="40" spans="1:13" s="127" customFormat="1" x14ac:dyDescent="0.25">
      <c r="A40" s="206" t="s">
        <v>168</v>
      </c>
      <c r="B40" s="207"/>
      <c r="C40" s="207"/>
      <c r="D40" s="207"/>
      <c r="E40" s="208"/>
      <c r="F40" s="122"/>
      <c r="G40" s="164">
        <f>SUM(G30:G39)*1.11</f>
        <v>8959467.5862000007</v>
      </c>
      <c r="H40" s="123"/>
      <c r="I40" s="124"/>
      <c r="J40" s="125"/>
      <c r="K40" s="125"/>
      <c r="L40" s="125"/>
      <c r="M40" s="126"/>
    </row>
    <row r="41" spans="1:13" x14ac:dyDescent="0.25">
      <c r="A41" s="203" t="s">
        <v>181</v>
      </c>
      <c r="B41" s="204"/>
      <c r="C41" s="204"/>
      <c r="D41" s="204"/>
      <c r="E41" s="205"/>
      <c r="F41" s="78"/>
      <c r="G41" s="83">
        <f>0+'Anexa achizitii directe 2025'!D252</f>
        <v>980027.4138000001</v>
      </c>
      <c r="H41" s="79"/>
      <c r="I41" s="80"/>
      <c r="J41" s="81"/>
      <c r="K41" s="81"/>
      <c r="L41" s="81"/>
      <c r="M41" s="82"/>
    </row>
    <row r="42" spans="1:13" x14ac:dyDescent="0.25">
      <c r="A42" s="203" t="s">
        <v>169</v>
      </c>
      <c r="B42" s="204"/>
      <c r="C42" s="204"/>
      <c r="D42" s="204"/>
      <c r="E42" s="205"/>
      <c r="F42" s="78"/>
      <c r="G42" s="83">
        <f>SUM(G40:G41)</f>
        <v>9939495</v>
      </c>
      <c r="H42" s="79"/>
      <c r="I42" s="80"/>
      <c r="J42" s="81"/>
      <c r="K42" s="81"/>
      <c r="L42" s="81"/>
      <c r="M42" s="82"/>
    </row>
    <row r="43" spans="1:13" ht="36" x14ac:dyDescent="0.25">
      <c r="A43" s="51">
        <v>21</v>
      </c>
      <c r="B43" s="53" t="s">
        <v>459</v>
      </c>
      <c r="C43" s="61" t="s">
        <v>458</v>
      </c>
      <c r="D43" s="77" t="s">
        <v>28</v>
      </c>
      <c r="E43" s="77" t="s">
        <v>9</v>
      </c>
      <c r="F43" s="78">
        <f>76097.4/12</f>
        <v>6341.45</v>
      </c>
      <c r="G43" s="78">
        <v>50000</v>
      </c>
      <c r="H43" s="79" t="s">
        <v>58</v>
      </c>
      <c r="I43" s="80" t="s">
        <v>61</v>
      </c>
      <c r="J43" s="81" t="s">
        <v>60</v>
      </c>
      <c r="K43" s="81"/>
      <c r="L43" s="81" t="s">
        <v>62</v>
      </c>
      <c r="M43" s="82">
        <v>2025</v>
      </c>
    </row>
    <row r="44" spans="1:13" ht="24" x14ac:dyDescent="0.25">
      <c r="A44" s="51">
        <v>22</v>
      </c>
      <c r="B44" s="53" t="s">
        <v>1473</v>
      </c>
      <c r="C44" s="61" t="s">
        <v>929</v>
      </c>
      <c r="D44" s="77" t="s">
        <v>28</v>
      </c>
      <c r="E44" s="77" t="s">
        <v>9</v>
      </c>
      <c r="F44" s="78">
        <v>1000</v>
      </c>
      <c r="G44" s="78">
        <f>694032/48*12</f>
        <v>173508</v>
      </c>
      <c r="H44" s="79" t="s">
        <v>58</v>
      </c>
      <c r="I44" s="80" t="s">
        <v>61</v>
      </c>
      <c r="J44" s="81" t="s">
        <v>60</v>
      </c>
      <c r="K44" s="81"/>
      <c r="L44" s="81" t="s">
        <v>62</v>
      </c>
      <c r="M44" s="82">
        <v>2025</v>
      </c>
    </row>
    <row r="45" spans="1:13" s="127" customFormat="1" ht="36" x14ac:dyDescent="0.25">
      <c r="A45" s="120">
        <v>23</v>
      </c>
      <c r="B45" s="61" t="s">
        <v>232</v>
      </c>
      <c r="C45" s="61" t="s">
        <v>853</v>
      </c>
      <c r="D45" s="121" t="s">
        <v>25</v>
      </c>
      <c r="E45" s="121" t="s">
        <v>9</v>
      </c>
      <c r="F45" s="122">
        <v>4568.3</v>
      </c>
      <c r="G45" s="122">
        <f>(7874329/1.21)-G43-G44-G46-G47-G48-G49-G50-G51-G52-G53-G54-G55-(G57/1.21)</f>
        <v>374799.89735537162</v>
      </c>
      <c r="H45" s="123" t="s">
        <v>58</v>
      </c>
      <c r="I45" s="124" t="s">
        <v>60</v>
      </c>
      <c r="J45" s="125" t="s">
        <v>60</v>
      </c>
      <c r="K45" s="125"/>
      <c r="L45" s="125" t="s">
        <v>62</v>
      </c>
      <c r="M45" s="126">
        <v>2025</v>
      </c>
    </row>
    <row r="46" spans="1:13" ht="36" x14ac:dyDescent="0.25">
      <c r="A46" s="51">
        <v>24</v>
      </c>
      <c r="B46" s="53" t="s">
        <v>1472</v>
      </c>
      <c r="C46" s="61" t="s">
        <v>123</v>
      </c>
      <c r="D46" s="77" t="s">
        <v>25</v>
      </c>
      <c r="E46" s="77" t="s">
        <v>9</v>
      </c>
      <c r="F46" s="78">
        <v>260705</v>
      </c>
      <c r="G46" s="78">
        <f>630792/48*12</f>
        <v>157698</v>
      </c>
      <c r="H46" s="79" t="s">
        <v>58</v>
      </c>
      <c r="I46" s="80" t="s">
        <v>60</v>
      </c>
      <c r="J46" s="81" t="s">
        <v>60</v>
      </c>
      <c r="K46" s="81"/>
      <c r="L46" s="81" t="s">
        <v>62</v>
      </c>
      <c r="M46" s="82">
        <v>2025</v>
      </c>
    </row>
    <row r="47" spans="1:13" ht="24" x14ac:dyDescent="0.25">
      <c r="A47" s="51">
        <v>25</v>
      </c>
      <c r="B47" s="53" t="s">
        <v>951</v>
      </c>
      <c r="C47" s="61" t="s">
        <v>122</v>
      </c>
      <c r="D47" s="77" t="s">
        <v>25</v>
      </c>
      <c r="E47" s="77" t="s">
        <v>9</v>
      </c>
      <c r="F47" s="78">
        <v>22780</v>
      </c>
      <c r="G47" s="78">
        <v>365640</v>
      </c>
      <c r="H47" s="79" t="s">
        <v>58</v>
      </c>
      <c r="I47" s="80" t="s">
        <v>60</v>
      </c>
      <c r="J47" s="81" t="s">
        <v>60</v>
      </c>
      <c r="K47" s="81"/>
      <c r="L47" s="81" t="s">
        <v>62</v>
      </c>
      <c r="M47" s="82">
        <v>2024</v>
      </c>
    </row>
    <row r="48" spans="1:13" s="127" customFormat="1" ht="24" x14ac:dyDescent="0.25">
      <c r="A48" s="120">
        <v>26</v>
      </c>
      <c r="B48" s="61" t="s">
        <v>946</v>
      </c>
      <c r="C48" s="61" t="s">
        <v>122</v>
      </c>
      <c r="D48" s="121" t="s">
        <v>25</v>
      </c>
      <c r="E48" s="121" t="s">
        <v>9</v>
      </c>
      <c r="F48" s="122">
        <v>137376</v>
      </c>
      <c r="G48" s="122">
        <f>412920/12*6</f>
        <v>206460</v>
      </c>
      <c r="H48" s="123" t="s">
        <v>58</v>
      </c>
      <c r="I48" s="124" t="s">
        <v>60</v>
      </c>
      <c r="J48" s="125" t="s">
        <v>60</v>
      </c>
      <c r="K48" s="125"/>
      <c r="L48" s="125" t="s">
        <v>62</v>
      </c>
      <c r="M48" s="82">
        <v>2024</v>
      </c>
    </row>
    <row r="49" spans="1:13" ht="36" x14ac:dyDescent="0.25">
      <c r="A49" s="51">
        <v>27</v>
      </c>
      <c r="B49" s="53" t="s">
        <v>461</v>
      </c>
      <c r="C49" s="61" t="s">
        <v>462</v>
      </c>
      <c r="D49" s="77" t="s">
        <v>28</v>
      </c>
      <c r="E49" s="77" t="s">
        <v>9</v>
      </c>
      <c r="F49" s="78">
        <v>10000</v>
      </c>
      <c r="G49" s="78">
        <f>81000/12*6</f>
        <v>40500</v>
      </c>
      <c r="H49" s="79" t="s">
        <v>58</v>
      </c>
      <c r="I49" s="80" t="s">
        <v>60</v>
      </c>
      <c r="J49" s="81" t="s">
        <v>60</v>
      </c>
      <c r="K49" s="81"/>
      <c r="L49" s="81" t="s">
        <v>62</v>
      </c>
      <c r="M49" s="82">
        <v>2024</v>
      </c>
    </row>
    <row r="50" spans="1:13" ht="60" x14ac:dyDescent="0.25">
      <c r="A50" s="51">
        <v>28</v>
      </c>
      <c r="B50" s="53" t="s">
        <v>505</v>
      </c>
      <c r="C50" s="61" t="s">
        <v>398</v>
      </c>
      <c r="D50" s="77" t="s">
        <v>25</v>
      </c>
      <c r="E50" s="77" t="s">
        <v>9</v>
      </c>
      <c r="F50" s="78">
        <v>1000</v>
      </c>
      <c r="G50" s="78">
        <v>1335098.74</v>
      </c>
      <c r="H50" s="79" t="s">
        <v>58</v>
      </c>
      <c r="I50" s="80" t="s">
        <v>60</v>
      </c>
      <c r="J50" s="81" t="s">
        <v>60</v>
      </c>
      <c r="K50" s="81"/>
      <c r="L50" s="81" t="s">
        <v>62</v>
      </c>
      <c r="M50" s="82">
        <v>2024</v>
      </c>
    </row>
    <row r="51" spans="1:13" ht="60" x14ac:dyDescent="0.25">
      <c r="A51" s="120">
        <v>29</v>
      </c>
      <c r="B51" s="53" t="s">
        <v>506</v>
      </c>
      <c r="C51" s="61" t="s">
        <v>398</v>
      </c>
      <c r="D51" s="77" t="s">
        <v>25</v>
      </c>
      <c r="E51" s="77" t="s">
        <v>9</v>
      </c>
      <c r="F51" s="78">
        <v>1000</v>
      </c>
      <c r="G51" s="78">
        <v>173493.28</v>
      </c>
      <c r="H51" s="79" t="s">
        <v>58</v>
      </c>
      <c r="I51" s="80" t="s">
        <v>60</v>
      </c>
      <c r="J51" s="81" t="s">
        <v>60</v>
      </c>
      <c r="K51" s="81"/>
      <c r="L51" s="81" t="s">
        <v>62</v>
      </c>
      <c r="M51" s="82">
        <v>2024</v>
      </c>
    </row>
    <row r="52" spans="1:13" ht="60" x14ac:dyDescent="0.25">
      <c r="A52" s="51">
        <v>30</v>
      </c>
      <c r="B52" s="53" t="s">
        <v>507</v>
      </c>
      <c r="C52" s="61" t="s">
        <v>398</v>
      </c>
      <c r="D52" s="77" t="s">
        <v>25</v>
      </c>
      <c r="E52" s="77" t="s">
        <v>9</v>
      </c>
      <c r="F52" s="78">
        <v>1000</v>
      </c>
      <c r="G52" s="78">
        <v>434143.31</v>
      </c>
      <c r="H52" s="79" t="s">
        <v>58</v>
      </c>
      <c r="I52" s="80" t="s">
        <v>60</v>
      </c>
      <c r="J52" s="81" t="s">
        <v>60</v>
      </c>
      <c r="K52" s="81"/>
      <c r="L52" s="81" t="s">
        <v>62</v>
      </c>
      <c r="M52" s="82">
        <v>2024</v>
      </c>
    </row>
    <row r="53" spans="1:13" ht="24" x14ac:dyDescent="0.25">
      <c r="A53" s="51">
        <v>31</v>
      </c>
      <c r="B53" s="53" t="s">
        <v>867</v>
      </c>
      <c r="C53" s="61" t="s">
        <v>478</v>
      </c>
      <c r="D53" s="77" t="s">
        <v>28</v>
      </c>
      <c r="E53" s="77" t="s">
        <v>9</v>
      </c>
      <c r="F53" s="78">
        <v>1000</v>
      </c>
      <c r="G53" s="78">
        <f>202725/12*7</f>
        <v>118256.25</v>
      </c>
      <c r="H53" s="79" t="s">
        <v>58</v>
      </c>
      <c r="I53" s="80" t="s">
        <v>60</v>
      </c>
      <c r="J53" s="81" t="s">
        <v>60</v>
      </c>
      <c r="K53" s="81"/>
      <c r="L53" s="81" t="s">
        <v>62</v>
      </c>
      <c r="M53" s="82">
        <v>2024</v>
      </c>
    </row>
    <row r="54" spans="1:13" ht="24" x14ac:dyDescent="0.25">
      <c r="A54" s="51">
        <v>32</v>
      </c>
      <c r="B54" s="53" t="s">
        <v>1485</v>
      </c>
      <c r="C54" s="61" t="s">
        <v>123</v>
      </c>
      <c r="D54" s="77" t="s">
        <v>25</v>
      </c>
      <c r="E54" s="77" t="s">
        <v>9</v>
      </c>
      <c r="F54" s="78">
        <v>1000</v>
      </c>
      <c r="G54" s="78">
        <f>1566960/48*6</f>
        <v>195870</v>
      </c>
      <c r="H54" s="79" t="s">
        <v>58</v>
      </c>
      <c r="I54" s="80" t="s">
        <v>60</v>
      </c>
      <c r="J54" s="81" t="s">
        <v>60</v>
      </c>
      <c r="K54" s="81"/>
      <c r="L54" s="81" t="s">
        <v>62</v>
      </c>
      <c r="M54" s="82">
        <v>2025</v>
      </c>
    </row>
    <row r="55" spans="1:13" ht="24" x14ac:dyDescent="0.25">
      <c r="A55" s="120">
        <v>33</v>
      </c>
      <c r="B55" s="53" t="s">
        <v>873</v>
      </c>
      <c r="C55" s="61" t="s">
        <v>123</v>
      </c>
      <c r="D55" s="77" t="s">
        <v>25</v>
      </c>
      <c r="E55" s="77" t="s">
        <v>9</v>
      </c>
      <c r="F55" s="78">
        <v>1</v>
      </c>
      <c r="G55" s="78">
        <v>2313431.94</v>
      </c>
      <c r="H55" s="79" t="s">
        <v>58</v>
      </c>
      <c r="I55" s="80" t="s">
        <v>60</v>
      </c>
      <c r="J55" s="81" t="s">
        <v>60</v>
      </c>
      <c r="K55" s="81"/>
      <c r="L55" s="81" t="s">
        <v>62</v>
      </c>
      <c r="M55" s="82">
        <v>2024</v>
      </c>
    </row>
    <row r="56" spans="1:13" x14ac:dyDescent="0.25">
      <c r="A56" s="203" t="s">
        <v>171</v>
      </c>
      <c r="B56" s="204"/>
      <c r="C56" s="204"/>
      <c r="D56" s="204"/>
      <c r="E56" s="205"/>
      <c r="F56" s="78"/>
      <c r="G56" s="83">
        <f>SUM(G43:G55)*1.21</f>
        <v>7186068.2949999999</v>
      </c>
      <c r="H56" s="79"/>
      <c r="I56" s="80"/>
      <c r="J56" s="81"/>
      <c r="K56" s="81"/>
      <c r="L56" s="81"/>
      <c r="M56" s="82"/>
    </row>
    <row r="57" spans="1:13" x14ac:dyDescent="0.25">
      <c r="A57" s="203" t="s">
        <v>180</v>
      </c>
      <c r="B57" s="204"/>
      <c r="C57" s="204"/>
      <c r="D57" s="204"/>
      <c r="E57" s="205"/>
      <c r="F57" s="78"/>
      <c r="G57" s="83">
        <f>'Anexa achizitii directe 2025'!D300</f>
        <v>688260.70499999996</v>
      </c>
      <c r="H57" s="79"/>
      <c r="I57" s="80"/>
      <c r="J57" s="81"/>
      <c r="K57" s="81"/>
      <c r="L57" s="81"/>
      <c r="M57" s="82"/>
    </row>
    <row r="58" spans="1:13" x14ac:dyDescent="0.25">
      <c r="A58" s="203" t="s">
        <v>172</v>
      </c>
      <c r="B58" s="204"/>
      <c r="C58" s="204"/>
      <c r="D58" s="204"/>
      <c r="E58" s="205"/>
      <c r="F58" s="78"/>
      <c r="G58" s="83">
        <f>SUM(G56:G57)</f>
        <v>7874329</v>
      </c>
      <c r="H58" s="79"/>
      <c r="I58" s="80"/>
      <c r="J58" s="81"/>
      <c r="K58" s="81"/>
      <c r="L58" s="81"/>
      <c r="M58" s="82"/>
    </row>
    <row r="59" spans="1:13" ht="24" x14ac:dyDescent="0.25">
      <c r="A59" s="51">
        <v>34</v>
      </c>
      <c r="B59" s="86" t="s">
        <v>463</v>
      </c>
      <c r="C59" s="61" t="s">
        <v>175</v>
      </c>
      <c r="D59" s="77" t="s">
        <v>25</v>
      </c>
      <c r="E59" s="77" t="s">
        <v>9</v>
      </c>
      <c r="F59" s="78"/>
      <c r="G59" s="78">
        <f>(395000/1.21)-(G61/1.21)</f>
        <v>216446.28099173552</v>
      </c>
      <c r="H59" s="79" t="s">
        <v>58</v>
      </c>
      <c r="I59" s="80" t="s">
        <v>61</v>
      </c>
      <c r="J59" s="81" t="s">
        <v>60</v>
      </c>
      <c r="K59" s="81"/>
      <c r="L59" s="81" t="s">
        <v>62</v>
      </c>
      <c r="M59" s="82">
        <v>2022</v>
      </c>
    </row>
    <row r="60" spans="1:13" x14ac:dyDescent="0.25">
      <c r="A60" s="203" t="s">
        <v>173</v>
      </c>
      <c r="B60" s="204"/>
      <c r="C60" s="204"/>
      <c r="D60" s="204"/>
      <c r="E60" s="205"/>
      <c r="F60" s="78"/>
      <c r="G60" s="83">
        <f>SUM(G59:G59)*1.21</f>
        <v>261899.99999999997</v>
      </c>
      <c r="H60" s="79"/>
      <c r="I60" s="80"/>
      <c r="J60" s="81"/>
      <c r="K60" s="81"/>
      <c r="L60" s="81"/>
      <c r="M60" s="82"/>
    </row>
    <row r="61" spans="1:13" x14ac:dyDescent="0.25">
      <c r="A61" s="203" t="s">
        <v>179</v>
      </c>
      <c r="B61" s="204"/>
      <c r="C61" s="204"/>
      <c r="D61" s="204"/>
      <c r="E61" s="205"/>
      <c r="F61" s="78"/>
      <c r="G61" s="83">
        <f>0+'Anexa achizitii directe 2025'!D306</f>
        <v>133100</v>
      </c>
      <c r="H61" s="79"/>
      <c r="I61" s="80"/>
      <c r="J61" s="81"/>
      <c r="K61" s="81"/>
      <c r="L61" s="81"/>
      <c r="M61" s="82"/>
    </row>
    <row r="62" spans="1:13" x14ac:dyDescent="0.25">
      <c r="A62" s="203" t="s">
        <v>174</v>
      </c>
      <c r="B62" s="204"/>
      <c r="C62" s="204"/>
      <c r="D62" s="204"/>
      <c r="E62" s="205"/>
      <c r="F62" s="78"/>
      <c r="G62" s="83">
        <f>G60+G61</f>
        <v>395000</v>
      </c>
      <c r="H62" s="79"/>
      <c r="I62" s="80"/>
      <c r="J62" s="81"/>
      <c r="K62" s="81"/>
      <c r="L62" s="81"/>
      <c r="M62" s="82"/>
    </row>
    <row r="63" spans="1:13" ht="24.75" x14ac:dyDescent="0.25">
      <c r="A63" s="51">
        <v>35</v>
      </c>
      <c r="B63" s="53" t="s">
        <v>151</v>
      </c>
      <c r="C63" s="64" t="s">
        <v>152</v>
      </c>
      <c r="D63" s="77" t="s">
        <v>25</v>
      </c>
      <c r="E63" s="77" t="s">
        <v>9</v>
      </c>
      <c r="F63" s="78">
        <f>708960/48</f>
        <v>14770</v>
      </c>
      <c r="G63" s="78">
        <f>(459968-G66)/1.21</f>
        <v>360138.84297520661</v>
      </c>
      <c r="H63" s="79" t="s">
        <v>58</v>
      </c>
      <c r="I63" s="80" t="s">
        <v>61</v>
      </c>
      <c r="J63" s="81" t="s">
        <v>60</v>
      </c>
      <c r="K63" s="81"/>
      <c r="L63" s="81" t="s">
        <v>62</v>
      </c>
      <c r="M63" s="82">
        <v>2022</v>
      </c>
    </row>
    <row r="64" spans="1:13" ht="24.75" hidden="1" x14ac:dyDescent="0.25">
      <c r="A64" s="51">
        <v>29</v>
      </c>
      <c r="B64" s="53" t="s">
        <v>151</v>
      </c>
      <c r="C64" s="64" t="s">
        <v>152</v>
      </c>
      <c r="D64" s="77" t="s">
        <v>25</v>
      </c>
      <c r="E64" s="77" t="s">
        <v>9</v>
      </c>
      <c r="F64" s="78">
        <f>708960/48</f>
        <v>14770</v>
      </c>
      <c r="G64" s="78"/>
      <c r="H64" s="79" t="s">
        <v>58</v>
      </c>
      <c r="I64" s="80" t="s">
        <v>61</v>
      </c>
      <c r="J64" s="81" t="s">
        <v>60</v>
      </c>
      <c r="K64" s="81"/>
      <c r="L64" s="81" t="s">
        <v>62</v>
      </c>
      <c r="M64" s="82">
        <v>2023</v>
      </c>
    </row>
    <row r="65" spans="1:13" x14ac:dyDescent="0.25">
      <c r="A65" s="203" t="s">
        <v>176</v>
      </c>
      <c r="B65" s="204"/>
      <c r="C65" s="204"/>
      <c r="D65" s="204"/>
      <c r="E65" s="205"/>
      <c r="F65" s="78"/>
      <c r="G65" s="83">
        <f>SUM(G63:G64)*1.21</f>
        <v>435768</v>
      </c>
      <c r="H65" s="79"/>
      <c r="I65" s="80"/>
      <c r="J65" s="81"/>
      <c r="K65" s="81"/>
      <c r="L65" s="81"/>
      <c r="M65" s="82"/>
    </row>
    <row r="66" spans="1:13" x14ac:dyDescent="0.25">
      <c r="A66" s="203" t="s">
        <v>178</v>
      </c>
      <c r="B66" s="204"/>
      <c r="C66" s="204"/>
      <c r="D66" s="204"/>
      <c r="E66" s="205"/>
      <c r="F66" s="78"/>
      <c r="G66" s="83">
        <f>0+'Anexa achizitii directe 2025'!D310</f>
        <v>24200</v>
      </c>
      <c r="H66" s="79"/>
      <c r="I66" s="80"/>
      <c r="J66" s="81"/>
      <c r="K66" s="81"/>
      <c r="L66" s="81"/>
      <c r="M66" s="82"/>
    </row>
    <row r="67" spans="1:13" ht="13.5" customHeight="1" x14ac:dyDescent="0.25">
      <c r="A67" s="203" t="s">
        <v>177</v>
      </c>
      <c r="B67" s="204"/>
      <c r="C67" s="204"/>
      <c r="D67" s="204"/>
      <c r="E67" s="205"/>
      <c r="F67" s="78"/>
      <c r="G67" s="83">
        <f>SUM(G65:G66)</f>
        <v>459968</v>
      </c>
      <c r="H67" s="79"/>
      <c r="I67" s="80"/>
      <c r="J67" s="81"/>
      <c r="K67" s="81"/>
      <c r="L67" s="81"/>
      <c r="M67" s="82"/>
    </row>
    <row r="68" spans="1:13" ht="36.75" x14ac:dyDescent="0.25">
      <c r="A68" s="51">
        <v>36</v>
      </c>
      <c r="B68" s="53" t="s">
        <v>947</v>
      </c>
      <c r="C68" s="64" t="s">
        <v>851</v>
      </c>
      <c r="D68" s="77" t="s">
        <v>28</v>
      </c>
      <c r="E68" s="77" t="s">
        <v>9</v>
      </c>
      <c r="F68" s="78">
        <f>708960/48</f>
        <v>14770</v>
      </c>
      <c r="G68" s="78">
        <f>127000/1.21-689436/4-G70/1.21+689436/4</f>
        <v>98458.677685950417</v>
      </c>
      <c r="H68" s="79" t="s">
        <v>58</v>
      </c>
      <c r="I68" s="80" t="s">
        <v>61</v>
      </c>
      <c r="J68" s="81" t="s">
        <v>60</v>
      </c>
      <c r="K68" s="81"/>
      <c r="L68" s="81" t="s">
        <v>62</v>
      </c>
      <c r="M68" s="82">
        <v>2025</v>
      </c>
    </row>
    <row r="69" spans="1:13" x14ac:dyDescent="0.25">
      <c r="A69" s="203" t="s">
        <v>948</v>
      </c>
      <c r="B69" s="204"/>
      <c r="C69" s="204"/>
      <c r="D69" s="204"/>
      <c r="E69" s="205"/>
      <c r="F69" s="78"/>
      <c r="G69" s="83">
        <f>SUM(G68:G68)*1.21</f>
        <v>119135</v>
      </c>
      <c r="H69" s="79"/>
      <c r="I69" s="80"/>
      <c r="J69" s="81"/>
      <c r="K69" s="81"/>
      <c r="L69" s="81"/>
      <c r="M69" s="82"/>
    </row>
    <row r="70" spans="1:13" x14ac:dyDescent="0.25">
      <c r="A70" s="203" t="s">
        <v>948</v>
      </c>
      <c r="B70" s="204"/>
      <c r="C70" s="204"/>
      <c r="D70" s="204"/>
      <c r="E70" s="205"/>
      <c r="F70" s="78"/>
      <c r="G70" s="83">
        <f>0+'Anexa achizitii directe 2025'!D451</f>
        <v>7865</v>
      </c>
      <c r="H70" s="79"/>
      <c r="I70" s="80"/>
      <c r="J70" s="81"/>
      <c r="K70" s="81"/>
      <c r="L70" s="81"/>
      <c r="M70" s="82"/>
    </row>
    <row r="71" spans="1:13" ht="13.5" customHeight="1" x14ac:dyDescent="0.25">
      <c r="A71" s="203" t="s">
        <v>949</v>
      </c>
      <c r="B71" s="204"/>
      <c r="C71" s="204"/>
      <c r="D71" s="204"/>
      <c r="E71" s="205"/>
      <c r="F71" s="78"/>
      <c r="G71" s="83">
        <f>SUM(G69:G70)</f>
        <v>127000</v>
      </c>
      <c r="H71" s="79"/>
      <c r="I71" s="80"/>
      <c r="J71" s="81"/>
      <c r="K71" s="81"/>
      <c r="L71" s="81"/>
      <c r="M71" s="82"/>
    </row>
    <row r="72" spans="1:13" ht="24" hidden="1" x14ac:dyDescent="0.25">
      <c r="A72" s="51">
        <v>36</v>
      </c>
      <c r="B72" s="96" t="s">
        <v>961</v>
      </c>
      <c r="C72" s="61" t="s">
        <v>222</v>
      </c>
      <c r="D72" s="77" t="s">
        <v>25</v>
      </c>
      <c r="E72" s="77" t="s">
        <v>9</v>
      </c>
      <c r="F72" s="78">
        <v>1</v>
      </c>
      <c r="G72" s="166"/>
      <c r="H72" s="79" t="s">
        <v>58</v>
      </c>
      <c r="I72" s="80" t="s">
        <v>61</v>
      </c>
      <c r="J72" s="81" t="s">
        <v>60</v>
      </c>
      <c r="K72" s="81"/>
      <c r="L72" s="81" t="s">
        <v>62</v>
      </c>
      <c r="M72" s="82">
        <v>2025</v>
      </c>
    </row>
    <row r="73" spans="1:13" hidden="1" x14ac:dyDescent="0.25">
      <c r="A73" s="203" t="s">
        <v>861</v>
      </c>
      <c r="B73" s="204"/>
      <c r="C73" s="204"/>
      <c r="D73" s="204"/>
      <c r="E73" s="205"/>
      <c r="F73" s="78"/>
      <c r="G73" s="83">
        <f>SUM(G72:G72)*1.19</f>
        <v>0</v>
      </c>
      <c r="H73" s="79"/>
      <c r="I73" s="80"/>
      <c r="J73" s="81"/>
      <c r="K73" s="81"/>
      <c r="L73" s="81"/>
      <c r="M73" s="82"/>
    </row>
    <row r="74" spans="1:13" hidden="1" x14ac:dyDescent="0.25">
      <c r="A74" s="203" t="s">
        <v>230</v>
      </c>
      <c r="B74" s="204"/>
      <c r="C74" s="204"/>
      <c r="D74" s="204"/>
      <c r="E74" s="205"/>
      <c r="F74" s="78"/>
      <c r="G74" s="83">
        <f>'Anexa achizitii directe 2025'!D474</f>
        <v>20000</v>
      </c>
      <c r="H74" s="79"/>
      <c r="I74" s="80"/>
      <c r="J74" s="81"/>
      <c r="K74" s="81"/>
      <c r="L74" s="81"/>
      <c r="M74" s="82"/>
    </row>
    <row r="75" spans="1:13" ht="18.75" hidden="1" customHeight="1" x14ac:dyDescent="0.25">
      <c r="A75" s="203" t="s">
        <v>223</v>
      </c>
      <c r="B75" s="204"/>
      <c r="C75" s="204"/>
      <c r="D75" s="204"/>
      <c r="E75" s="205"/>
      <c r="F75" s="78"/>
      <c r="G75" s="83">
        <f>G73+G74</f>
        <v>20000</v>
      </c>
      <c r="H75" s="79"/>
      <c r="I75" s="80"/>
      <c r="J75" s="81"/>
      <c r="K75" s="81"/>
      <c r="L75" s="81"/>
      <c r="M75" s="82"/>
    </row>
    <row r="76" spans="1:13" ht="24" hidden="1" x14ac:dyDescent="0.25">
      <c r="A76" s="51">
        <v>35</v>
      </c>
      <c r="B76" s="61"/>
      <c r="C76" s="61" t="s">
        <v>467</v>
      </c>
      <c r="D76" s="77" t="s">
        <v>28</v>
      </c>
      <c r="E76" s="77" t="s">
        <v>7</v>
      </c>
      <c r="F76" s="56">
        <v>1</v>
      </c>
      <c r="G76" s="109"/>
      <c r="H76" s="56"/>
      <c r="I76" s="57"/>
    </row>
    <row r="77" spans="1:13" s="27" customFormat="1" ht="12.75" hidden="1" customHeight="1" x14ac:dyDescent="0.2">
      <c r="A77" s="203" t="s">
        <v>422</v>
      </c>
      <c r="B77" s="204"/>
      <c r="C77" s="204"/>
      <c r="D77" s="204"/>
      <c r="E77" s="204"/>
      <c r="F77" s="205"/>
      <c r="G77" s="110">
        <f>G76*1.19</f>
        <v>0</v>
      </c>
      <c r="H77" s="56"/>
      <c r="I77" s="57"/>
    </row>
    <row r="78" spans="1:13" ht="18.75" customHeight="1" x14ac:dyDescent="0.25">
      <c r="A78" s="203" t="s">
        <v>229</v>
      </c>
      <c r="B78" s="204"/>
      <c r="C78" s="204"/>
      <c r="D78" s="204"/>
      <c r="E78" s="205"/>
      <c r="F78" s="78"/>
      <c r="G78" s="83">
        <f>0+'Anexa achizitii directe 2025'!D478</f>
        <v>12000</v>
      </c>
      <c r="H78" s="79"/>
      <c r="I78" s="80"/>
      <c r="J78" s="81"/>
      <c r="K78" s="81"/>
      <c r="L78" s="81"/>
      <c r="M78" s="82"/>
    </row>
    <row r="79" spans="1:13" ht="18.75" customHeight="1" x14ac:dyDescent="0.25">
      <c r="A79" s="102"/>
      <c r="B79" s="102"/>
      <c r="C79" s="102"/>
      <c r="D79" s="102"/>
      <c r="E79" s="102"/>
      <c r="F79" s="103"/>
      <c r="G79" s="104"/>
      <c r="H79" s="105"/>
      <c r="I79" s="106"/>
      <c r="J79" s="107"/>
      <c r="K79" s="107"/>
      <c r="L79" s="107"/>
      <c r="M79" s="108"/>
    </row>
    <row r="80" spans="1:13" s="91" customFormat="1" ht="18.75" customHeight="1" x14ac:dyDescent="0.25">
      <c r="A80" s="226" t="s">
        <v>257</v>
      </c>
      <c r="B80" s="226"/>
      <c r="C80" s="226"/>
      <c r="D80" s="226"/>
      <c r="E80" s="226"/>
      <c r="F80" s="226"/>
      <c r="G80" s="90">
        <f>G65+G60+G56+G40+G29+G24+G15+G11+G69+'Anexa achizitii directe 2025'!D479</f>
        <v>34489731</v>
      </c>
      <c r="I80" s="92"/>
    </row>
    <row r="81" spans="1:13" s="91" customFormat="1" ht="15.75" x14ac:dyDescent="0.25">
      <c r="A81" s="93"/>
      <c r="B81" s="91" t="s">
        <v>872</v>
      </c>
      <c r="G81" s="94">
        <f>G75+'Anexa achizitii directe 2025'!D470+'Anexa achizitii directe 2025'!D478</f>
        <v>32000</v>
      </c>
    </row>
    <row r="82" spans="1:13" s="31" customFormat="1" ht="12.75" x14ac:dyDescent="0.2">
      <c r="A82" s="29"/>
      <c r="B82" s="29" t="s">
        <v>208</v>
      </c>
      <c r="C82" s="30"/>
      <c r="E82" s="32"/>
      <c r="F82" s="224" t="s">
        <v>225</v>
      </c>
      <c r="G82" s="224"/>
      <c r="H82" s="224"/>
      <c r="J82" s="225" t="s">
        <v>209</v>
      </c>
      <c r="K82" s="225"/>
      <c r="L82" s="225"/>
      <c r="M82" s="225"/>
    </row>
    <row r="83" spans="1:13" s="31" customFormat="1" ht="12.75" x14ac:dyDescent="0.2">
      <c r="A83" s="29"/>
      <c r="B83" s="29" t="s">
        <v>210</v>
      </c>
      <c r="C83" s="30"/>
      <c r="E83" s="32"/>
      <c r="F83" s="224" t="s">
        <v>226</v>
      </c>
      <c r="G83" s="224"/>
      <c r="H83" s="224"/>
      <c r="J83" s="224" t="s">
        <v>211</v>
      </c>
      <c r="K83" s="224"/>
      <c r="L83" s="224"/>
      <c r="M83" s="224"/>
    </row>
    <row r="84" spans="1:13" s="91" customFormat="1" ht="15.75" x14ac:dyDescent="0.25">
      <c r="A84" s="93"/>
    </row>
  </sheetData>
  <mergeCells count="49">
    <mergeCell ref="F82:H82"/>
    <mergeCell ref="J82:M82"/>
    <mergeCell ref="F83:H83"/>
    <mergeCell ref="J83:M83"/>
    <mergeCell ref="A80:F80"/>
    <mergeCell ref="M7:M8"/>
    <mergeCell ref="A6:M6"/>
    <mergeCell ref="A7:A8"/>
    <mergeCell ref="B7:B8"/>
    <mergeCell ref="C7:C8"/>
    <mergeCell ref="D7:D8"/>
    <mergeCell ref="E7:E8"/>
    <mergeCell ref="F7:G7"/>
    <mergeCell ref="H7:H8"/>
    <mergeCell ref="I7:I8"/>
    <mergeCell ref="J7:J8"/>
    <mergeCell ref="K7:K8"/>
    <mergeCell ref="L7:L8"/>
    <mergeCell ref="A11:E11"/>
    <mergeCell ref="A12:E12"/>
    <mergeCell ref="A13:E13"/>
    <mergeCell ref="A78:E78"/>
    <mergeCell ref="A75:E75"/>
    <mergeCell ref="A67:E67"/>
    <mergeCell ref="A60:E60"/>
    <mergeCell ref="A61:E61"/>
    <mergeCell ref="A62:E62"/>
    <mergeCell ref="A65:E65"/>
    <mergeCell ref="A66:E66"/>
    <mergeCell ref="A74:E74"/>
    <mergeCell ref="A77:F77"/>
    <mergeCell ref="A73:E73"/>
    <mergeCell ref="A41:E41"/>
    <mergeCell ref="A42:E42"/>
    <mergeCell ref="A69:E69"/>
    <mergeCell ref="A70:E70"/>
    <mergeCell ref="A71:E71"/>
    <mergeCell ref="A15:E15"/>
    <mergeCell ref="A16:E16"/>
    <mergeCell ref="A17:E17"/>
    <mergeCell ref="A24:E24"/>
    <mergeCell ref="A25:E25"/>
    <mergeCell ref="A56:E56"/>
    <mergeCell ref="A57:E57"/>
    <mergeCell ref="A58:E58"/>
    <mergeCell ref="A26:E26"/>
    <mergeCell ref="A28:E28"/>
    <mergeCell ref="A29:E29"/>
    <mergeCell ref="A40:E40"/>
  </mergeCells>
  <dataValidations count="3">
    <dataValidation type="list" allowBlank="1" showInputMessage="1" showErrorMessage="1" sqref="E27 E30:E39 E72 E9:E10 E14 E59 E76 E63:E64 E18:E23 E68 E43:E55" xr:uid="{00000000-0002-0000-0100-000000000000}">
      <formula1>$P$15:$P$16</formula1>
    </dataValidation>
    <dataValidation type="list" allowBlank="1" showInputMessage="1" showErrorMessage="1" sqref="K9:K17 K19:K79" xr:uid="{00000000-0002-0000-0100-000001000000}">
      <formula1>$Q$15:$Q$16</formula1>
    </dataValidation>
    <dataValidation type="list" allowBlank="1" showInputMessage="1" showErrorMessage="1" sqref="D59 D27 D9:D10 D14 D76 D72 D18:D23 D63:D64 D30:D39 D68 D43:D55" xr:uid="{00000000-0002-0000-0100-000003000000}">
      <formula1>$O$16:$O$24</formula1>
    </dataValidation>
  </dataValidations>
  <pageMargins left="0.25" right="0.25" top="0.75" bottom="0.75" header="0.3" footer="0.3"/>
  <pageSetup paperSize="9" scale="52"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482"/>
  <sheetViews>
    <sheetView tabSelected="1" view="pageBreakPreview" topLeftCell="A19" zoomScaleSheetLayoutView="100" workbookViewId="0">
      <selection activeCell="A478" sqref="A478:C478"/>
    </sheetView>
  </sheetViews>
  <sheetFormatPr defaultColWidth="8.85546875" defaultRowHeight="15" x14ac:dyDescent="0.25"/>
  <cols>
    <col min="1" max="1" width="7.5703125" style="17" customWidth="1"/>
    <col min="2" max="2" width="59.7109375" style="16" customWidth="1"/>
    <col min="3" max="3" width="47" style="16" customWidth="1"/>
    <col min="4" max="4" width="19.28515625" customWidth="1"/>
    <col min="5" max="5" width="13.5703125" customWidth="1"/>
    <col min="6" max="6" width="15.28515625" customWidth="1"/>
    <col min="7" max="7" width="17.7109375" customWidth="1"/>
    <col min="8" max="8" width="18.7109375" customWidth="1"/>
    <col min="9" max="9" width="15.7109375" customWidth="1"/>
  </cols>
  <sheetData>
    <row r="1" spans="1:9" s="37" customFormat="1" ht="25.5" x14ac:dyDescent="0.25">
      <c r="A1" s="35"/>
      <c r="B1" s="195" t="s">
        <v>212</v>
      </c>
      <c r="C1" s="35"/>
      <c r="D1" s="36"/>
      <c r="H1" s="38"/>
    </row>
    <row r="2" spans="1:9" s="37" customFormat="1" x14ac:dyDescent="0.25">
      <c r="A2" s="35"/>
      <c r="B2" s="195" t="s">
        <v>213</v>
      </c>
      <c r="C2" s="35"/>
      <c r="D2" s="36"/>
      <c r="H2" s="38"/>
    </row>
    <row r="3" spans="1:9" s="37" customFormat="1" x14ac:dyDescent="0.25">
      <c r="A3" s="29"/>
      <c r="B3" s="118" t="s">
        <v>1668</v>
      </c>
      <c r="C3" s="35"/>
      <c r="D3" s="36"/>
      <c r="H3" s="38"/>
    </row>
    <row r="4" spans="1:9" s="37" customFormat="1" x14ac:dyDescent="0.25">
      <c r="A4" s="29"/>
      <c r="B4" s="35"/>
      <c r="C4" s="35"/>
      <c r="D4" s="36"/>
      <c r="G4" s="34" t="s">
        <v>214</v>
      </c>
      <c r="H4" s="38"/>
    </row>
    <row r="5" spans="1:9" s="37" customFormat="1" x14ac:dyDescent="0.25">
      <c r="A5" s="29"/>
      <c r="B5" s="35"/>
      <c r="C5" s="35"/>
      <c r="D5" s="36"/>
      <c r="G5" s="32" t="s">
        <v>215</v>
      </c>
      <c r="H5" s="38"/>
    </row>
    <row r="6" spans="1:9" s="37" customFormat="1" x14ac:dyDescent="0.25">
      <c r="A6" s="29"/>
      <c r="B6" s="35"/>
      <c r="C6" s="35"/>
      <c r="D6" s="36"/>
      <c r="G6" s="34" t="s">
        <v>429</v>
      </c>
      <c r="H6" s="38"/>
    </row>
    <row r="7" spans="1:9" s="37" customFormat="1" x14ac:dyDescent="0.25">
      <c r="A7" s="29"/>
      <c r="B7" s="35"/>
      <c r="C7" s="35"/>
      <c r="D7" s="36"/>
      <c r="E7" s="119"/>
      <c r="F7" s="39"/>
      <c r="G7" s="34"/>
      <c r="H7" s="38"/>
    </row>
    <row r="8" spans="1:9" s="37" customFormat="1" x14ac:dyDescent="0.25">
      <c r="A8" s="29"/>
      <c r="B8" s="35"/>
      <c r="C8" s="35"/>
      <c r="D8" s="36"/>
      <c r="H8" s="38"/>
    </row>
    <row r="9" spans="1:9" ht="15.75" thickBot="1" x14ac:dyDescent="0.3">
      <c r="A9" s="227" t="s">
        <v>1669</v>
      </c>
      <c r="B9" s="227"/>
      <c r="C9" s="227"/>
      <c r="D9" s="227"/>
      <c r="E9" s="227"/>
      <c r="F9" s="227"/>
      <c r="G9" s="227"/>
      <c r="H9" s="227"/>
      <c r="I9" s="227"/>
    </row>
    <row r="10" spans="1:9" ht="36.75" thickTop="1" x14ac:dyDescent="0.25">
      <c r="A10" s="112" t="s">
        <v>13</v>
      </c>
      <c r="B10" s="46" t="s">
        <v>31</v>
      </c>
      <c r="C10" s="47" t="s">
        <v>17</v>
      </c>
      <c r="D10" s="47" t="s">
        <v>19</v>
      </c>
      <c r="E10" s="48" t="s">
        <v>20</v>
      </c>
      <c r="F10" s="48" t="s">
        <v>32</v>
      </c>
      <c r="G10" s="48" t="s">
        <v>33</v>
      </c>
      <c r="H10" s="49" t="s">
        <v>34</v>
      </c>
      <c r="I10" s="50" t="s">
        <v>35</v>
      </c>
    </row>
    <row r="11" spans="1:9" s="27" customFormat="1" ht="84" x14ac:dyDescent="0.2">
      <c r="A11" s="51">
        <v>1</v>
      </c>
      <c r="B11" s="52" t="s">
        <v>63</v>
      </c>
      <c r="C11" s="53" t="s">
        <v>67</v>
      </c>
      <c r="D11" s="54">
        <f>86500/1.21</f>
        <v>71487.603305785131</v>
      </c>
      <c r="E11" s="55" t="s">
        <v>58</v>
      </c>
      <c r="F11" s="56" t="s">
        <v>59</v>
      </c>
      <c r="G11" s="56" t="s">
        <v>64</v>
      </c>
      <c r="H11" s="56" t="s">
        <v>62</v>
      </c>
      <c r="I11" s="57" t="s">
        <v>65</v>
      </c>
    </row>
    <row r="12" spans="1:9" s="27" customFormat="1" ht="12.75" x14ac:dyDescent="0.2">
      <c r="A12" s="203" t="s">
        <v>183</v>
      </c>
      <c r="B12" s="204"/>
      <c r="C12" s="205"/>
      <c r="D12" s="58">
        <f>SUM(D11)*1.21</f>
        <v>86500</v>
      </c>
      <c r="E12" s="55"/>
      <c r="F12" s="56"/>
      <c r="G12" s="56"/>
      <c r="H12" s="56"/>
      <c r="I12" s="57"/>
    </row>
    <row r="13" spans="1:9" s="27" customFormat="1" ht="132" x14ac:dyDescent="0.2">
      <c r="A13" s="51">
        <v>2</v>
      </c>
      <c r="B13" s="52" t="s">
        <v>66</v>
      </c>
      <c r="C13" s="53" t="s">
        <v>124</v>
      </c>
      <c r="D13" s="54">
        <v>22000</v>
      </c>
      <c r="E13" s="55" t="s">
        <v>58</v>
      </c>
      <c r="F13" s="56" t="s">
        <v>59</v>
      </c>
      <c r="G13" s="56" t="s">
        <v>64</v>
      </c>
      <c r="H13" s="56" t="s">
        <v>62</v>
      </c>
      <c r="I13" s="57" t="s">
        <v>65</v>
      </c>
    </row>
    <row r="14" spans="1:9" s="27" customFormat="1" ht="12.75" x14ac:dyDescent="0.2">
      <c r="A14" s="203" t="s">
        <v>184</v>
      </c>
      <c r="B14" s="204"/>
      <c r="C14" s="205"/>
      <c r="D14" s="58">
        <f>SUM(D13)*1.21</f>
        <v>26620</v>
      </c>
      <c r="E14" s="55"/>
      <c r="F14" s="56"/>
      <c r="G14" s="56"/>
      <c r="H14" s="56"/>
      <c r="I14" s="57"/>
    </row>
    <row r="15" spans="1:9" s="27" customFormat="1" ht="24" x14ac:dyDescent="0.2">
      <c r="A15" s="65">
        <v>3</v>
      </c>
      <c r="B15" s="53" t="s">
        <v>1011</v>
      </c>
      <c r="C15" s="132" t="s">
        <v>847</v>
      </c>
      <c r="D15" s="133">
        <v>1062.06</v>
      </c>
      <c r="E15" s="55" t="s">
        <v>58</v>
      </c>
      <c r="F15" s="56" t="s">
        <v>59</v>
      </c>
      <c r="G15" s="56" t="s">
        <v>64</v>
      </c>
      <c r="H15" s="56" t="s">
        <v>70</v>
      </c>
      <c r="I15" s="57" t="s">
        <v>65</v>
      </c>
    </row>
    <row r="16" spans="1:9" s="27" customFormat="1" ht="24" x14ac:dyDescent="0.2">
      <c r="A16" s="65">
        <v>4</v>
      </c>
      <c r="B16" s="53" t="s">
        <v>573</v>
      </c>
      <c r="C16" s="132" t="s">
        <v>847</v>
      </c>
      <c r="D16" s="133">
        <v>507.15</v>
      </c>
      <c r="E16" s="55" t="s">
        <v>58</v>
      </c>
      <c r="F16" s="56" t="s">
        <v>59</v>
      </c>
      <c r="G16" s="56" t="s">
        <v>64</v>
      </c>
      <c r="H16" s="56" t="s">
        <v>70</v>
      </c>
      <c r="I16" s="57" t="s">
        <v>65</v>
      </c>
    </row>
    <row r="17" spans="1:9" s="27" customFormat="1" ht="24" x14ac:dyDescent="0.2">
      <c r="A17" s="65">
        <v>5</v>
      </c>
      <c r="B17" s="53" t="s">
        <v>572</v>
      </c>
      <c r="C17" s="132" t="s">
        <v>847</v>
      </c>
      <c r="D17" s="133">
        <v>327.75</v>
      </c>
      <c r="E17" s="55" t="s">
        <v>58</v>
      </c>
      <c r="F17" s="56" t="s">
        <v>59</v>
      </c>
      <c r="G17" s="56" t="s">
        <v>64</v>
      </c>
      <c r="H17" s="56" t="s">
        <v>70</v>
      </c>
      <c r="I17" s="57" t="s">
        <v>65</v>
      </c>
    </row>
    <row r="18" spans="1:9" s="27" customFormat="1" ht="24" x14ac:dyDescent="0.2">
      <c r="A18" s="65">
        <v>6</v>
      </c>
      <c r="B18" s="53" t="s">
        <v>570</v>
      </c>
      <c r="C18" s="132" t="s">
        <v>847</v>
      </c>
      <c r="D18" s="133">
        <v>310.5</v>
      </c>
      <c r="E18" s="55" t="s">
        <v>58</v>
      </c>
      <c r="F18" s="56" t="s">
        <v>59</v>
      </c>
      <c r="G18" s="56" t="s">
        <v>64</v>
      </c>
      <c r="H18" s="56" t="s">
        <v>70</v>
      </c>
      <c r="I18" s="57" t="s">
        <v>65</v>
      </c>
    </row>
    <row r="19" spans="1:9" s="27" customFormat="1" ht="24" x14ac:dyDescent="0.2">
      <c r="A19" s="65">
        <v>7</v>
      </c>
      <c r="B19" s="53" t="s">
        <v>571</v>
      </c>
      <c r="C19" s="132" t="s">
        <v>847</v>
      </c>
      <c r="D19" s="133">
        <v>575</v>
      </c>
      <c r="E19" s="55" t="s">
        <v>58</v>
      </c>
      <c r="F19" s="56" t="s">
        <v>59</v>
      </c>
      <c r="G19" s="56" t="s">
        <v>64</v>
      </c>
      <c r="H19" s="56" t="s">
        <v>70</v>
      </c>
      <c r="I19" s="57" t="s">
        <v>65</v>
      </c>
    </row>
    <row r="20" spans="1:9" s="27" customFormat="1" ht="24" x14ac:dyDescent="0.2">
      <c r="A20" s="65">
        <v>8</v>
      </c>
      <c r="B20" s="53" t="s">
        <v>574</v>
      </c>
      <c r="C20" s="132" t="s">
        <v>847</v>
      </c>
      <c r="D20" s="133">
        <v>1472</v>
      </c>
      <c r="E20" s="55" t="s">
        <v>58</v>
      </c>
      <c r="F20" s="56" t="s">
        <v>59</v>
      </c>
      <c r="G20" s="56" t="s">
        <v>64</v>
      </c>
      <c r="H20" s="56" t="s">
        <v>70</v>
      </c>
      <c r="I20" s="57" t="s">
        <v>65</v>
      </c>
    </row>
    <row r="21" spans="1:9" s="27" customFormat="1" ht="24" x14ac:dyDescent="0.2">
      <c r="A21" s="65">
        <v>9</v>
      </c>
      <c r="B21" s="53" t="s">
        <v>1015</v>
      </c>
      <c r="C21" s="132" t="s">
        <v>847</v>
      </c>
      <c r="D21" s="133">
        <v>4312.5</v>
      </c>
      <c r="E21" s="55" t="s">
        <v>58</v>
      </c>
      <c r="F21" s="56" t="s">
        <v>59</v>
      </c>
      <c r="G21" s="56" t="s">
        <v>64</v>
      </c>
      <c r="H21" s="56" t="s">
        <v>70</v>
      </c>
      <c r="I21" s="57" t="s">
        <v>65</v>
      </c>
    </row>
    <row r="22" spans="1:9" s="27" customFormat="1" ht="24" x14ac:dyDescent="0.2">
      <c r="A22" s="65">
        <v>10</v>
      </c>
      <c r="B22" s="53" t="s">
        <v>1016</v>
      </c>
      <c r="C22" s="132" t="s">
        <v>847</v>
      </c>
      <c r="D22" s="133">
        <v>2875</v>
      </c>
      <c r="E22" s="55" t="s">
        <v>58</v>
      </c>
      <c r="F22" s="56" t="s">
        <v>59</v>
      </c>
      <c r="G22" s="56" t="s">
        <v>64</v>
      </c>
      <c r="H22" s="56" t="s">
        <v>70</v>
      </c>
      <c r="I22" s="57" t="s">
        <v>65</v>
      </c>
    </row>
    <row r="23" spans="1:9" s="27" customFormat="1" ht="24" x14ac:dyDescent="0.2">
      <c r="A23" s="65">
        <v>11</v>
      </c>
      <c r="B23" s="53" t="s">
        <v>1017</v>
      </c>
      <c r="C23" s="132" t="s">
        <v>847</v>
      </c>
      <c r="D23" s="133">
        <v>2875</v>
      </c>
      <c r="E23" s="55" t="s">
        <v>58</v>
      </c>
      <c r="F23" s="56" t="s">
        <v>59</v>
      </c>
      <c r="G23" s="56" t="s">
        <v>64</v>
      </c>
      <c r="H23" s="56" t="s">
        <v>70</v>
      </c>
      <c r="I23" s="57" t="s">
        <v>65</v>
      </c>
    </row>
    <row r="24" spans="1:9" s="27" customFormat="1" ht="24" x14ac:dyDescent="0.2">
      <c r="A24" s="65">
        <v>12</v>
      </c>
      <c r="B24" s="53" t="s">
        <v>575</v>
      </c>
      <c r="C24" s="132" t="s">
        <v>847</v>
      </c>
      <c r="D24" s="133">
        <v>4140</v>
      </c>
      <c r="E24" s="55" t="s">
        <v>58</v>
      </c>
      <c r="F24" s="56" t="s">
        <v>59</v>
      </c>
      <c r="G24" s="56" t="s">
        <v>64</v>
      </c>
      <c r="H24" s="56" t="s">
        <v>70</v>
      </c>
      <c r="I24" s="57" t="s">
        <v>65</v>
      </c>
    </row>
    <row r="25" spans="1:9" s="27" customFormat="1" ht="24" x14ac:dyDescent="0.2">
      <c r="A25" s="65">
        <v>13</v>
      </c>
      <c r="B25" s="53" t="s">
        <v>1019</v>
      </c>
      <c r="C25" s="132" t="s">
        <v>847</v>
      </c>
      <c r="D25" s="133">
        <v>793.5</v>
      </c>
      <c r="E25" s="55" t="s">
        <v>58</v>
      </c>
      <c r="F25" s="56" t="s">
        <v>59</v>
      </c>
      <c r="G25" s="56" t="s">
        <v>64</v>
      </c>
      <c r="H25" s="56" t="s">
        <v>70</v>
      </c>
      <c r="I25" s="57" t="s">
        <v>65</v>
      </c>
    </row>
    <row r="26" spans="1:9" ht="84" x14ac:dyDescent="0.25">
      <c r="A26" s="65">
        <v>14</v>
      </c>
      <c r="B26" s="52" t="s">
        <v>68</v>
      </c>
      <c r="C26" s="59" t="s">
        <v>69</v>
      </c>
      <c r="D26" s="133">
        <f>(1759094/1.21-SUM(D15:D25))</f>
        <v>1434546.2342148761</v>
      </c>
      <c r="E26" s="55" t="s">
        <v>58</v>
      </c>
      <c r="F26" s="56" t="s">
        <v>59</v>
      </c>
      <c r="G26" s="56" t="s">
        <v>64</v>
      </c>
      <c r="H26" s="56" t="s">
        <v>70</v>
      </c>
      <c r="I26" s="57" t="s">
        <v>65</v>
      </c>
    </row>
    <row r="27" spans="1:9" s="27" customFormat="1" ht="12.75" x14ac:dyDescent="0.2">
      <c r="A27" s="203" t="s">
        <v>185</v>
      </c>
      <c r="B27" s="204"/>
      <c r="C27" s="205"/>
      <c r="D27" s="58">
        <f>SUM(D15:D26)*1.21</f>
        <v>1759094</v>
      </c>
      <c r="E27" s="55"/>
      <c r="F27" s="56"/>
      <c r="G27" s="56"/>
      <c r="H27" s="56"/>
      <c r="I27" s="57"/>
    </row>
    <row r="28" spans="1:9" ht="48" x14ac:dyDescent="0.25">
      <c r="A28" s="51">
        <v>15</v>
      </c>
      <c r="B28" s="52" t="s">
        <v>71</v>
      </c>
      <c r="C28" s="59" t="s">
        <v>72</v>
      </c>
      <c r="D28" s="54">
        <f>564000/1.21</f>
        <v>466115.70247933886</v>
      </c>
      <c r="E28" s="55" t="s">
        <v>58</v>
      </c>
      <c r="F28" s="56" t="s">
        <v>59</v>
      </c>
      <c r="G28" s="56" t="s">
        <v>64</v>
      </c>
      <c r="H28" s="56" t="s">
        <v>70</v>
      </c>
      <c r="I28" s="57" t="s">
        <v>65</v>
      </c>
    </row>
    <row r="29" spans="1:9" s="27" customFormat="1" ht="12.75" x14ac:dyDescent="0.2">
      <c r="A29" s="203" t="s">
        <v>186</v>
      </c>
      <c r="B29" s="204"/>
      <c r="C29" s="205"/>
      <c r="D29" s="58">
        <f>SUM(D28)*1.21</f>
        <v>564000</v>
      </c>
      <c r="E29" s="55"/>
      <c r="F29" s="56"/>
      <c r="G29" s="56"/>
      <c r="H29" s="56"/>
      <c r="I29" s="57"/>
    </row>
    <row r="30" spans="1:9" ht="24" x14ac:dyDescent="0.25">
      <c r="A30" s="51">
        <v>16</v>
      </c>
      <c r="B30" s="60" t="s">
        <v>73</v>
      </c>
      <c r="C30" s="59" t="s">
        <v>74</v>
      </c>
      <c r="D30" s="54">
        <f>18000/1.21</f>
        <v>14876.03305785124</v>
      </c>
      <c r="E30" s="55" t="s">
        <v>58</v>
      </c>
      <c r="F30" s="56" t="s">
        <v>59</v>
      </c>
      <c r="G30" s="56" t="s">
        <v>64</v>
      </c>
      <c r="H30" s="56" t="s">
        <v>70</v>
      </c>
      <c r="I30" s="57" t="s">
        <v>65</v>
      </c>
    </row>
    <row r="31" spans="1:9" s="27" customFormat="1" ht="12.75" x14ac:dyDescent="0.2">
      <c r="A31" s="203" t="s">
        <v>187</v>
      </c>
      <c r="B31" s="204"/>
      <c r="C31" s="205"/>
      <c r="D31" s="58">
        <f>SUM(D30)*1.21</f>
        <v>18000</v>
      </c>
      <c r="E31" s="55"/>
      <c r="F31" s="56"/>
      <c r="G31" s="56"/>
      <c r="H31" s="56"/>
      <c r="I31" s="57"/>
    </row>
    <row r="32" spans="1:9" ht="24" hidden="1" x14ac:dyDescent="0.25">
      <c r="A32" s="51">
        <v>21</v>
      </c>
      <c r="B32" s="61" t="s">
        <v>433</v>
      </c>
      <c r="C32" s="53" t="s">
        <v>227</v>
      </c>
      <c r="D32" s="133"/>
      <c r="E32" s="55" t="s">
        <v>58</v>
      </c>
      <c r="F32" s="56" t="s">
        <v>59</v>
      </c>
      <c r="G32" s="56" t="s">
        <v>64</v>
      </c>
      <c r="H32" s="56" t="s">
        <v>70</v>
      </c>
      <c r="I32" s="57" t="s">
        <v>65</v>
      </c>
    </row>
    <row r="33" spans="1:9" ht="24" hidden="1" x14ac:dyDescent="0.25">
      <c r="A33" s="51">
        <v>22</v>
      </c>
      <c r="B33" s="61" t="s">
        <v>444</v>
      </c>
      <c r="C33" s="53" t="s">
        <v>227</v>
      </c>
      <c r="D33" s="133"/>
      <c r="E33" s="55" t="s">
        <v>58</v>
      </c>
      <c r="F33" s="56" t="s">
        <v>59</v>
      </c>
      <c r="G33" s="56" t="s">
        <v>64</v>
      </c>
      <c r="H33" s="56" t="s">
        <v>70</v>
      </c>
      <c r="I33" s="57" t="s">
        <v>65</v>
      </c>
    </row>
    <row r="34" spans="1:9" ht="24" hidden="1" x14ac:dyDescent="0.25">
      <c r="A34" s="51">
        <v>23</v>
      </c>
      <c r="B34" s="61" t="s">
        <v>264</v>
      </c>
      <c r="C34" s="53" t="s">
        <v>227</v>
      </c>
      <c r="D34" s="133"/>
      <c r="E34" s="55" t="s">
        <v>58</v>
      </c>
      <c r="F34" s="56" t="s">
        <v>59</v>
      </c>
      <c r="G34" s="56" t="s">
        <v>64</v>
      </c>
      <c r="H34" s="56" t="s">
        <v>70</v>
      </c>
      <c r="I34" s="57" t="s">
        <v>65</v>
      </c>
    </row>
    <row r="35" spans="1:9" ht="24" hidden="1" x14ac:dyDescent="0.25">
      <c r="A35" s="51">
        <v>24</v>
      </c>
      <c r="B35" s="61" t="s">
        <v>265</v>
      </c>
      <c r="C35" s="53" t="s">
        <v>227</v>
      </c>
      <c r="D35" s="133"/>
      <c r="E35" s="55" t="s">
        <v>58</v>
      </c>
      <c r="F35" s="56" t="s">
        <v>59</v>
      </c>
      <c r="G35" s="56" t="s">
        <v>64</v>
      </c>
      <c r="H35" s="56" t="s">
        <v>70</v>
      </c>
      <c r="I35" s="57" t="s">
        <v>65</v>
      </c>
    </row>
    <row r="36" spans="1:9" ht="24" hidden="1" x14ac:dyDescent="0.25">
      <c r="A36" s="51">
        <v>25</v>
      </c>
      <c r="B36" s="61" t="s">
        <v>263</v>
      </c>
      <c r="C36" s="53" t="s">
        <v>456</v>
      </c>
      <c r="D36" s="133"/>
      <c r="E36" s="55" t="s">
        <v>58</v>
      </c>
      <c r="F36" s="56" t="s">
        <v>59</v>
      </c>
      <c r="G36" s="56" t="s">
        <v>64</v>
      </c>
      <c r="H36" s="56" t="s">
        <v>70</v>
      </c>
      <c r="I36" s="57" t="s">
        <v>65</v>
      </c>
    </row>
    <row r="37" spans="1:9" ht="24" hidden="1" x14ac:dyDescent="0.25">
      <c r="A37" s="51">
        <v>26</v>
      </c>
      <c r="B37" s="61" t="s">
        <v>432</v>
      </c>
      <c r="C37" s="53" t="s">
        <v>259</v>
      </c>
      <c r="D37" s="133"/>
      <c r="E37" s="55" t="s">
        <v>58</v>
      </c>
      <c r="F37" s="56" t="s">
        <v>59</v>
      </c>
      <c r="G37" s="56" t="s">
        <v>64</v>
      </c>
      <c r="H37" s="56" t="s">
        <v>70</v>
      </c>
      <c r="I37" s="57" t="s">
        <v>65</v>
      </c>
    </row>
    <row r="38" spans="1:9" ht="24" hidden="1" x14ac:dyDescent="0.25">
      <c r="A38" s="51">
        <v>27</v>
      </c>
      <c r="B38" s="61" t="s">
        <v>431</v>
      </c>
      <c r="C38" s="53" t="s">
        <v>259</v>
      </c>
      <c r="D38" s="133"/>
      <c r="E38" s="55" t="s">
        <v>58</v>
      </c>
      <c r="F38" s="56" t="s">
        <v>59</v>
      </c>
      <c r="G38" s="56" t="s">
        <v>64</v>
      </c>
      <c r="H38" s="56" t="s">
        <v>70</v>
      </c>
      <c r="I38" s="57" t="s">
        <v>65</v>
      </c>
    </row>
    <row r="39" spans="1:9" ht="24" hidden="1" x14ac:dyDescent="0.25">
      <c r="A39" s="51">
        <v>28</v>
      </c>
      <c r="B39" s="61" t="s">
        <v>430</v>
      </c>
      <c r="C39" s="53" t="s">
        <v>123</v>
      </c>
      <c r="D39" s="133"/>
      <c r="E39" s="55" t="s">
        <v>58</v>
      </c>
      <c r="F39" s="56" t="s">
        <v>59</v>
      </c>
      <c r="G39" s="56" t="s">
        <v>64</v>
      </c>
      <c r="H39" s="56" t="s">
        <v>70</v>
      </c>
      <c r="I39" s="57" t="s">
        <v>65</v>
      </c>
    </row>
    <row r="40" spans="1:9" ht="24" hidden="1" x14ac:dyDescent="0.25">
      <c r="A40" s="51">
        <v>29</v>
      </c>
      <c r="B40" s="61" t="s">
        <v>449</v>
      </c>
      <c r="C40" s="53" t="s">
        <v>258</v>
      </c>
      <c r="D40" s="133"/>
      <c r="E40" s="55" t="s">
        <v>58</v>
      </c>
      <c r="F40" s="56" t="s">
        <v>59</v>
      </c>
      <c r="G40" s="56" t="s">
        <v>64</v>
      </c>
      <c r="H40" s="56" t="s">
        <v>70</v>
      </c>
      <c r="I40" s="57" t="s">
        <v>65</v>
      </c>
    </row>
    <row r="41" spans="1:9" ht="24" hidden="1" x14ac:dyDescent="0.25">
      <c r="A41" s="51">
        <v>30</v>
      </c>
      <c r="B41" s="61" t="s">
        <v>584</v>
      </c>
      <c r="C41" s="53" t="s">
        <v>227</v>
      </c>
      <c r="D41" s="133"/>
      <c r="E41" s="55" t="s">
        <v>58</v>
      </c>
      <c r="F41" s="56" t="s">
        <v>59</v>
      </c>
      <c r="G41" s="56" t="s">
        <v>64</v>
      </c>
      <c r="H41" s="56" t="s">
        <v>70</v>
      </c>
      <c r="I41" s="57" t="s">
        <v>65</v>
      </c>
    </row>
    <row r="42" spans="1:9" ht="24" hidden="1" x14ac:dyDescent="0.25">
      <c r="A42" s="51">
        <v>31</v>
      </c>
      <c r="B42" s="61" t="s">
        <v>585</v>
      </c>
      <c r="C42" s="53" t="s">
        <v>259</v>
      </c>
      <c r="D42" s="133"/>
      <c r="E42" s="55" t="s">
        <v>58</v>
      </c>
      <c r="F42" s="56" t="s">
        <v>59</v>
      </c>
      <c r="G42" s="56" t="s">
        <v>64</v>
      </c>
      <c r="H42" s="56" t="s">
        <v>70</v>
      </c>
      <c r="I42" s="57" t="s">
        <v>65</v>
      </c>
    </row>
    <row r="43" spans="1:9" ht="24" hidden="1" x14ac:dyDescent="0.25">
      <c r="A43" s="51">
        <v>32</v>
      </c>
      <c r="B43" s="61" t="s">
        <v>586</v>
      </c>
      <c r="C43" s="53" t="s">
        <v>259</v>
      </c>
      <c r="D43" s="133"/>
      <c r="E43" s="55" t="s">
        <v>58</v>
      </c>
      <c r="F43" s="56" t="s">
        <v>59</v>
      </c>
      <c r="G43" s="56" t="s">
        <v>64</v>
      </c>
      <c r="H43" s="56" t="s">
        <v>70</v>
      </c>
      <c r="I43" s="57" t="s">
        <v>65</v>
      </c>
    </row>
    <row r="44" spans="1:9" ht="24" hidden="1" x14ac:dyDescent="0.25">
      <c r="A44" s="51">
        <v>33</v>
      </c>
      <c r="B44" s="61" t="s">
        <v>587</v>
      </c>
      <c r="C44" s="53" t="s">
        <v>259</v>
      </c>
      <c r="D44" s="133"/>
      <c r="E44" s="55" t="s">
        <v>58</v>
      </c>
      <c r="F44" s="56" t="s">
        <v>59</v>
      </c>
      <c r="G44" s="56" t="s">
        <v>64</v>
      </c>
      <c r="H44" s="56" t="s">
        <v>70</v>
      </c>
      <c r="I44" s="57" t="s">
        <v>65</v>
      </c>
    </row>
    <row r="45" spans="1:9" ht="24" hidden="1" x14ac:dyDescent="0.25">
      <c r="A45" s="51">
        <v>34</v>
      </c>
      <c r="B45" s="61" t="s">
        <v>588</v>
      </c>
      <c r="C45" s="53" t="s">
        <v>259</v>
      </c>
      <c r="D45" s="133"/>
      <c r="E45" s="55" t="s">
        <v>58</v>
      </c>
      <c r="F45" s="56" t="s">
        <v>59</v>
      </c>
      <c r="G45" s="56" t="s">
        <v>64</v>
      </c>
      <c r="H45" s="56" t="s">
        <v>70</v>
      </c>
      <c r="I45" s="57" t="s">
        <v>65</v>
      </c>
    </row>
    <row r="46" spans="1:9" ht="24" hidden="1" x14ac:dyDescent="0.25">
      <c r="A46" s="51">
        <v>35</v>
      </c>
      <c r="B46" s="61" t="s">
        <v>589</v>
      </c>
      <c r="C46" s="53" t="s">
        <v>259</v>
      </c>
      <c r="D46" s="133"/>
      <c r="E46" s="55" t="s">
        <v>58</v>
      </c>
      <c r="F46" s="56" t="s">
        <v>59</v>
      </c>
      <c r="G46" s="56" t="s">
        <v>64</v>
      </c>
      <c r="H46" s="56" t="s">
        <v>70</v>
      </c>
      <c r="I46" s="57" t="s">
        <v>65</v>
      </c>
    </row>
    <row r="47" spans="1:9" ht="24" hidden="1" x14ac:dyDescent="0.25">
      <c r="A47" s="51">
        <v>36</v>
      </c>
      <c r="B47" s="61" t="s">
        <v>446</v>
      </c>
      <c r="C47" s="53" t="s">
        <v>259</v>
      </c>
      <c r="D47" s="133"/>
      <c r="E47" s="55" t="s">
        <v>58</v>
      </c>
      <c r="F47" s="56" t="s">
        <v>59</v>
      </c>
      <c r="G47" s="56" t="s">
        <v>64</v>
      </c>
      <c r="H47" s="56" t="s">
        <v>70</v>
      </c>
      <c r="I47" s="57" t="s">
        <v>65</v>
      </c>
    </row>
    <row r="48" spans="1:9" ht="24" hidden="1" x14ac:dyDescent="0.25">
      <c r="A48" s="51">
        <v>37</v>
      </c>
      <c r="B48" s="61" t="s">
        <v>440</v>
      </c>
      <c r="C48" s="53" t="s">
        <v>259</v>
      </c>
      <c r="D48" s="133"/>
      <c r="E48" s="55" t="s">
        <v>58</v>
      </c>
      <c r="F48" s="56" t="s">
        <v>59</v>
      </c>
      <c r="G48" s="56" t="s">
        <v>64</v>
      </c>
      <c r="H48" s="56" t="s">
        <v>70</v>
      </c>
      <c r="I48" s="57" t="s">
        <v>65</v>
      </c>
    </row>
    <row r="49" spans="1:9" ht="24" hidden="1" x14ac:dyDescent="0.25">
      <c r="A49" s="51">
        <v>38</v>
      </c>
      <c r="B49" s="61" t="s">
        <v>264</v>
      </c>
      <c r="C49" s="53" t="s">
        <v>259</v>
      </c>
      <c r="D49" s="133"/>
      <c r="E49" s="55" t="s">
        <v>58</v>
      </c>
      <c r="F49" s="56" t="s">
        <v>59</v>
      </c>
      <c r="G49" s="56" t="s">
        <v>64</v>
      </c>
      <c r="H49" s="56" t="s">
        <v>70</v>
      </c>
      <c r="I49" s="57" t="s">
        <v>65</v>
      </c>
    </row>
    <row r="50" spans="1:9" ht="24" hidden="1" x14ac:dyDescent="0.25">
      <c r="A50" s="51">
        <v>39</v>
      </c>
      <c r="B50" s="61" t="s">
        <v>444</v>
      </c>
      <c r="C50" s="53" t="s">
        <v>259</v>
      </c>
      <c r="D50" s="133"/>
      <c r="E50" s="55" t="s">
        <v>58</v>
      </c>
      <c r="F50" s="56" t="s">
        <v>59</v>
      </c>
      <c r="G50" s="56" t="s">
        <v>64</v>
      </c>
      <c r="H50" s="56" t="s">
        <v>70</v>
      </c>
      <c r="I50" s="57" t="s">
        <v>65</v>
      </c>
    </row>
    <row r="51" spans="1:9" ht="24" hidden="1" x14ac:dyDescent="0.25">
      <c r="A51" s="51">
        <v>40</v>
      </c>
      <c r="B51" s="61" t="s">
        <v>590</v>
      </c>
      <c r="C51" s="53" t="s">
        <v>259</v>
      </c>
      <c r="D51" s="133"/>
      <c r="E51" s="55" t="s">
        <v>58</v>
      </c>
      <c r="F51" s="56" t="s">
        <v>59</v>
      </c>
      <c r="G51" s="56" t="s">
        <v>64</v>
      </c>
      <c r="H51" s="56" t="s">
        <v>70</v>
      </c>
      <c r="I51" s="57" t="s">
        <v>65</v>
      </c>
    </row>
    <row r="52" spans="1:9" ht="24" hidden="1" x14ac:dyDescent="0.25">
      <c r="A52" s="51">
        <v>41</v>
      </c>
      <c r="B52" s="61" t="s">
        <v>434</v>
      </c>
      <c r="C52" s="53" t="s">
        <v>259</v>
      </c>
      <c r="D52" s="133"/>
      <c r="E52" s="55" t="s">
        <v>58</v>
      </c>
      <c r="F52" s="56" t="s">
        <v>59</v>
      </c>
      <c r="G52" s="56" t="s">
        <v>64</v>
      </c>
      <c r="H52" s="56" t="s">
        <v>70</v>
      </c>
      <c r="I52" s="57" t="s">
        <v>65</v>
      </c>
    </row>
    <row r="53" spans="1:9" ht="24" hidden="1" x14ac:dyDescent="0.25">
      <c r="A53" s="51">
        <v>42</v>
      </c>
      <c r="B53" s="61" t="s">
        <v>445</v>
      </c>
      <c r="C53" s="53" t="s">
        <v>259</v>
      </c>
      <c r="D53" s="133"/>
      <c r="E53" s="55" t="s">
        <v>58</v>
      </c>
      <c r="F53" s="56" t="s">
        <v>59</v>
      </c>
      <c r="G53" s="56" t="s">
        <v>64</v>
      </c>
      <c r="H53" s="56" t="s">
        <v>70</v>
      </c>
      <c r="I53" s="57" t="s">
        <v>65</v>
      </c>
    </row>
    <row r="54" spans="1:9" ht="24" hidden="1" x14ac:dyDescent="0.25">
      <c r="A54" s="51">
        <v>43</v>
      </c>
      <c r="B54" s="61" t="s">
        <v>441</v>
      </c>
      <c r="C54" s="53" t="s">
        <v>259</v>
      </c>
      <c r="D54" s="133"/>
      <c r="E54" s="55" t="s">
        <v>58</v>
      </c>
      <c r="F54" s="56" t="s">
        <v>59</v>
      </c>
      <c r="G54" s="56" t="s">
        <v>64</v>
      </c>
      <c r="H54" s="56" t="s">
        <v>70</v>
      </c>
      <c r="I54" s="57" t="s">
        <v>65</v>
      </c>
    </row>
    <row r="55" spans="1:9" ht="24" hidden="1" x14ac:dyDescent="0.25">
      <c r="A55" s="51">
        <v>44</v>
      </c>
      <c r="B55" s="61" t="s">
        <v>591</v>
      </c>
      <c r="C55" s="53" t="s">
        <v>227</v>
      </c>
      <c r="D55" s="133"/>
      <c r="E55" s="55" t="s">
        <v>58</v>
      </c>
      <c r="F55" s="56" t="s">
        <v>59</v>
      </c>
      <c r="G55" s="56" t="s">
        <v>64</v>
      </c>
      <c r="H55" s="56" t="s">
        <v>70</v>
      </c>
      <c r="I55" s="57" t="s">
        <v>65</v>
      </c>
    </row>
    <row r="56" spans="1:9" ht="24" hidden="1" x14ac:dyDescent="0.25">
      <c r="A56" s="51">
        <v>45</v>
      </c>
      <c r="B56" s="61" t="s">
        <v>266</v>
      </c>
      <c r="C56" s="53" t="s">
        <v>227</v>
      </c>
      <c r="D56" s="133"/>
      <c r="E56" s="55" t="s">
        <v>58</v>
      </c>
      <c r="F56" s="56" t="s">
        <v>59</v>
      </c>
      <c r="G56" s="56" t="s">
        <v>64</v>
      </c>
      <c r="H56" s="56" t="s">
        <v>70</v>
      </c>
      <c r="I56" s="57" t="s">
        <v>65</v>
      </c>
    </row>
    <row r="57" spans="1:9" ht="24" hidden="1" x14ac:dyDescent="0.25">
      <c r="A57" s="51">
        <v>46</v>
      </c>
      <c r="B57" s="61" t="s">
        <v>592</v>
      </c>
      <c r="C57" s="53" t="s">
        <v>227</v>
      </c>
      <c r="D57" s="133"/>
      <c r="E57" s="55" t="s">
        <v>58</v>
      </c>
      <c r="F57" s="56" t="s">
        <v>59</v>
      </c>
      <c r="G57" s="56" t="s">
        <v>64</v>
      </c>
      <c r="H57" s="56" t="s">
        <v>70</v>
      </c>
      <c r="I57" s="57" t="s">
        <v>65</v>
      </c>
    </row>
    <row r="58" spans="1:9" ht="24" hidden="1" x14ac:dyDescent="0.25">
      <c r="A58" s="51">
        <v>47</v>
      </c>
      <c r="B58" s="61" t="s">
        <v>263</v>
      </c>
      <c r="C58" s="53" t="s">
        <v>227</v>
      </c>
      <c r="D58" s="133"/>
      <c r="E58" s="55" t="s">
        <v>58</v>
      </c>
      <c r="F58" s="56" t="s">
        <v>59</v>
      </c>
      <c r="G58" s="56" t="s">
        <v>64</v>
      </c>
      <c r="H58" s="56" t="s">
        <v>70</v>
      </c>
      <c r="I58" s="57" t="s">
        <v>65</v>
      </c>
    </row>
    <row r="59" spans="1:9" ht="24" hidden="1" x14ac:dyDescent="0.25">
      <c r="A59" s="51">
        <v>48</v>
      </c>
      <c r="B59" s="61" t="s">
        <v>262</v>
      </c>
      <c r="C59" s="53" t="s">
        <v>227</v>
      </c>
      <c r="D59" s="133"/>
      <c r="E59" s="55" t="s">
        <v>58</v>
      </c>
      <c r="F59" s="56" t="s">
        <v>59</v>
      </c>
      <c r="G59" s="56" t="s">
        <v>64</v>
      </c>
      <c r="H59" s="56" t="s">
        <v>70</v>
      </c>
      <c r="I59" s="57" t="s">
        <v>65</v>
      </c>
    </row>
    <row r="60" spans="1:9" ht="24" hidden="1" x14ac:dyDescent="0.25">
      <c r="A60" s="51">
        <v>49</v>
      </c>
      <c r="B60" s="61" t="s">
        <v>436</v>
      </c>
      <c r="C60" s="53" t="s">
        <v>227</v>
      </c>
      <c r="D60" s="133"/>
      <c r="E60" s="55" t="s">
        <v>58</v>
      </c>
      <c r="F60" s="56" t="s">
        <v>59</v>
      </c>
      <c r="G60" s="56" t="s">
        <v>64</v>
      </c>
      <c r="H60" s="56" t="s">
        <v>70</v>
      </c>
      <c r="I60" s="57" t="s">
        <v>65</v>
      </c>
    </row>
    <row r="61" spans="1:9" ht="24" hidden="1" x14ac:dyDescent="0.25">
      <c r="A61" s="51">
        <v>50</v>
      </c>
      <c r="B61" s="61" t="s">
        <v>435</v>
      </c>
      <c r="C61" s="53" t="s">
        <v>227</v>
      </c>
      <c r="D61" s="133"/>
      <c r="E61" s="55" t="s">
        <v>58</v>
      </c>
      <c r="F61" s="56" t="s">
        <v>59</v>
      </c>
      <c r="G61" s="56" t="s">
        <v>64</v>
      </c>
      <c r="H61" s="56" t="s">
        <v>70</v>
      </c>
      <c r="I61" s="57" t="s">
        <v>65</v>
      </c>
    </row>
    <row r="62" spans="1:9" ht="24" hidden="1" x14ac:dyDescent="0.25">
      <c r="A62" s="51">
        <v>51</v>
      </c>
      <c r="B62" s="61" t="s">
        <v>593</v>
      </c>
      <c r="C62" s="53" t="s">
        <v>227</v>
      </c>
      <c r="D62" s="133"/>
      <c r="E62" s="55" t="s">
        <v>58</v>
      </c>
      <c r="F62" s="56" t="s">
        <v>59</v>
      </c>
      <c r="G62" s="56" t="s">
        <v>64</v>
      </c>
      <c r="H62" s="56" t="s">
        <v>70</v>
      </c>
      <c r="I62" s="57" t="s">
        <v>65</v>
      </c>
    </row>
    <row r="63" spans="1:9" ht="24" hidden="1" x14ac:dyDescent="0.25">
      <c r="A63" s="51">
        <v>52</v>
      </c>
      <c r="B63" s="61" t="s">
        <v>442</v>
      </c>
      <c r="C63" s="53" t="s">
        <v>227</v>
      </c>
      <c r="D63" s="133"/>
      <c r="E63" s="55" t="s">
        <v>58</v>
      </c>
      <c r="F63" s="56" t="s">
        <v>59</v>
      </c>
      <c r="G63" s="56" t="s">
        <v>64</v>
      </c>
      <c r="H63" s="56" t="s">
        <v>70</v>
      </c>
      <c r="I63" s="57" t="s">
        <v>65</v>
      </c>
    </row>
    <row r="64" spans="1:9" ht="24" hidden="1" x14ac:dyDescent="0.25">
      <c r="A64" s="51">
        <v>53</v>
      </c>
      <c r="B64" s="61" t="s">
        <v>449</v>
      </c>
      <c r="C64" s="53" t="s">
        <v>227</v>
      </c>
      <c r="D64" s="133"/>
      <c r="E64" s="55" t="s">
        <v>58</v>
      </c>
      <c r="F64" s="56" t="s">
        <v>59</v>
      </c>
      <c r="G64" s="56" t="s">
        <v>64</v>
      </c>
      <c r="H64" s="56" t="s">
        <v>70</v>
      </c>
      <c r="I64" s="57" t="s">
        <v>65</v>
      </c>
    </row>
    <row r="65" spans="1:9" ht="24" hidden="1" x14ac:dyDescent="0.25">
      <c r="A65" s="51">
        <v>54</v>
      </c>
      <c r="B65" s="61" t="s">
        <v>443</v>
      </c>
      <c r="C65" s="53" t="s">
        <v>258</v>
      </c>
      <c r="D65" s="133"/>
      <c r="E65" s="55" t="s">
        <v>58</v>
      </c>
      <c r="F65" s="56" t="s">
        <v>59</v>
      </c>
      <c r="G65" s="56" t="s">
        <v>64</v>
      </c>
      <c r="H65" s="56" t="s">
        <v>70</v>
      </c>
      <c r="I65" s="57" t="s">
        <v>65</v>
      </c>
    </row>
    <row r="66" spans="1:9" ht="24" hidden="1" x14ac:dyDescent="0.25">
      <c r="A66" s="51">
        <v>55</v>
      </c>
      <c r="B66" s="61" t="s">
        <v>447</v>
      </c>
      <c r="C66" s="53" t="s">
        <v>227</v>
      </c>
      <c r="D66" s="133"/>
      <c r="E66" s="55" t="s">
        <v>58</v>
      </c>
      <c r="F66" s="56" t="s">
        <v>59</v>
      </c>
      <c r="G66" s="56" t="s">
        <v>64</v>
      </c>
      <c r="H66" s="56" t="s">
        <v>70</v>
      </c>
      <c r="I66" s="57" t="s">
        <v>65</v>
      </c>
    </row>
    <row r="67" spans="1:9" ht="24" hidden="1" x14ac:dyDescent="0.25">
      <c r="A67" s="51">
        <v>56</v>
      </c>
      <c r="B67" s="61" t="s">
        <v>450</v>
      </c>
      <c r="C67" s="53" t="s">
        <v>227</v>
      </c>
      <c r="D67" s="133"/>
      <c r="E67" s="55" t="s">
        <v>58</v>
      </c>
      <c r="F67" s="56" t="s">
        <v>59</v>
      </c>
      <c r="G67" s="56" t="s">
        <v>64</v>
      </c>
      <c r="H67" s="56" t="s">
        <v>70</v>
      </c>
      <c r="I67" s="57" t="s">
        <v>65</v>
      </c>
    </row>
    <row r="68" spans="1:9" ht="24" hidden="1" x14ac:dyDescent="0.25">
      <c r="A68" s="51">
        <v>57</v>
      </c>
      <c r="B68" s="61" t="s">
        <v>265</v>
      </c>
      <c r="C68" s="53" t="s">
        <v>227</v>
      </c>
      <c r="D68" s="133"/>
      <c r="E68" s="55" t="s">
        <v>58</v>
      </c>
      <c r="F68" s="56" t="s">
        <v>59</v>
      </c>
      <c r="G68" s="56" t="s">
        <v>64</v>
      </c>
      <c r="H68" s="56" t="s">
        <v>70</v>
      </c>
      <c r="I68" s="57" t="s">
        <v>65</v>
      </c>
    </row>
    <row r="69" spans="1:9" ht="24" hidden="1" x14ac:dyDescent="0.25">
      <c r="A69" s="51">
        <v>58</v>
      </c>
      <c r="B69" s="61" t="s">
        <v>448</v>
      </c>
      <c r="C69" s="53" t="s">
        <v>227</v>
      </c>
      <c r="D69" s="133"/>
      <c r="E69" s="55" t="s">
        <v>58</v>
      </c>
      <c r="F69" s="56" t="s">
        <v>59</v>
      </c>
      <c r="G69" s="56" t="s">
        <v>64</v>
      </c>
      <c r="H69" s="56" t="s">
        <v>70</v>
      </c>
      <c r="I69" s="57" t="s">
        <v>65</v>
      </c>
    </row>
    <row r="70" spans="1:9" ht="24" hidden="1" x14ac:dyDescent="0.25">
      <c r="A70" s="51">
        <v>59</v>
      </c>
      <c r="B70" s="61" t="s">
        <v>430</v>
      </c>
      <c r="C70" s="53" t="s">
        <v>501</v>
      </c>
      <c r="D70" s="133"/>
      <c r="E70" s="55" t="s">
        <v>58</v>
      </c>
      <c r="F70" s="56" t="s">
        <v>59</v>
      </c>
      <c r="G70" s="56" t="s">
        <v>64</v>
      </c>
      <c r="H70" s="56" t="s">
        <v>70</v>
      </c>
      <c r="I70" s="57" t="s">
        <v>65</v>
      </c>
    </row>
    <row r="71" spans="1:9" ht="24" hidden="1" x14ac:dyDescent="0.25">
      <c r="A71" s="51">
        <v>60</v>
      </c>
      <c r="B71" s="61" t="s">
        <v>438</v>
      </c>
      <c r="C71" s="53" t="s">
        <v>396</v>
      </c>
      <c r="D71" s="133"/>
      <c r="E71" s="55" t="s">
        <v>58</v>
      </c>
      <c r="F71" s="56" t="s">
        <v>59</v>
      </c>
      <c r="G71" s="56" t="s">
        <v>64</v>
      </c>
      <c r="H71" s="56" t="s">
        <v>70</v>
      </c>
      <c r="I71" s="57" t="s">
        <v>65</v>
      </c>
    </row>
    <row r="72" spans="1:9" ht="24" hidden="1" x14ac:dyDescent="0.25">
      <c r="A72" s="51">
        <v>61</v>
      </c>
      <c r="B72" s="61" t="s">
        <v>437</v>
      </c>
      <c r="C72" s="53" t="s">
        <v>396</v>
      </c>
      <c r="D72" s="133"/>
      <c r="E72" s="55" t="s">
        <v>58</v>
      </c>
      <c r="F72" s="56" t="s">
        <v>59</v>
      </c>
      <c r="G72" s="56" t="s">
        <v>64</v>
      </c>
      <c r="H72" s="56" t="s">
        <v>70</v>
      </c>
      <c r="I72" s="57" t="s">
        <v>65</v>
      </c>
    </row>
    <row r="73" spans="1:9" ht="24" hidden="1" x14ac:dyDescent="0.25">
      <c r="A73" s="51">
        <v>62</v>
      </c>
      <c r="B73" s="61" t="s">
        <v>439</v>
      </c>
      <c r="C73" s="53" t="s">
        <v>396</v>
      </c>
      <c r="D73" s="133"/>
      <c r="E73" s="55" t="s">
        <v>58</v>
      </c>
      <c r="F73" s="56" t="s">
        <v>59</v>
      </c>
      <c r="G73" s="56" t="s">
        <v>64</v>
      </c>
      <c r="H73" s="56" t="s">
        <v>70</v>
      </c>
      <c r="I73" s="57" t="s">
        <v>65</v>
      </c>
    </row>
    <row r="74" spans="1:9" ht="24" hidden="1" x14ac:dyDescent="0.25">
      <c r="A74" s="51">
        <v>63</v>
      </c>
      <c r="B74" s="61" t="s">
        <v>447</v>
      </c>
      <c r="C74" s="53" t="s">
        <v>258</v>
      </c>
      <c r="D74" s="133"/>
      <c r="E74" s="55" t="s">
        <v>58</v>
      </c>
      <c r="F74" s="56" t="s">
        <v>59</v>
      </c>
      <c r="G74" s="56" t="s">
        <v>64</v>
      </c>
      <c r="H74" s="56" t="s">
        <v>70</v>
      </c>
      <c r="I74" s="57" t="s">
        <v>65</v>
      </c>
    </row>
    <row r="75" spans="1:9" ht="24" hidden="1" x14ac:dyDescent="0.25">
      <c r="A75" s="51">
        <v>64</v>
      </c>
      <c r="B75" s="61" t="s">
        <v>446</v>
      </c>
      <c r="C75" s="53" t="s">
        <v>227</v>
      </c>
      <c r="D75" s="133"/>
      <c r="E75" s="55" t="s">
        <v>58</v>
      </c>
      <c r="F75" s="56" t="s">
        <v>59</v>
      </c>
      <c r="G75" s="56" t="s">
        <v>64</v>
      </c>
      <c r="H75" s="56" t="s">
        <v>70</v>
      </c>
      <c r="I75" s="57" t="s">
        <v>65</v>
      </c>
    </row>
    <row r="76" spans="1:9" ht="24" hidden="1" x14ac:dyDescent="0.25">
      <c r="A76" s="51">
        <v>65</v>
      </c>
      <c r="B76" s="61" t="s">
        <v>451</v>
      </c>
      <c r="C76" s="53" t="s">
        <v>123</v>
      </c>
      <c r="D76" s="133"/>
      <c r="E76" s="55" t="s">
        <v>58</v>
      </c>
      <c r="F76" s="56" t="s">
        <v>59</v>
      </c>
      <c r="G76" s="56" t="s">
        <v>64</v>
      </c>
      <c r="H76" s="56" t="s">
        <v>70</v>
      </c>
      <c r="I76" s="57" t="s">
        <v>65</v>
      </c>
    </row>
    <row r="77" spans="1:9" ht="24" hidden="1" x14ac:dyDescent="0.25">
      <c r="A77" s="51">
        <v>66</v>
      </c>
      <c r="B77" s="61" t="s">
        <v>594</v>
      </c>
      <c r="C77" s="53" t="s">
        <v>499</v>
      </c>
      <c r="D77" s="133"/>
      <c r="E77" s="55" t="s">
        <v>58</v>
      </c>
      <c r="F77" s="56" t="s">
        <v>59</v>
      </c>
      <c r="G77" s="56" t="s">
        <v>64</v>
      </c>
      <c r="H77" s="56" t="s">
        <v>70</v>
      </c>
      <c r="I77" s="57" t="s">
        <v>65</v>
      </c>
    </row>
    <row r="78" spans="1:9" ht="24" hidden="1" x14ac:dyDescent="0.25">
      <c r="A78" s="51">
        <v>67</v>
      </c>
      <c r="B78" s="61" t="s">
        <v>595</v>
      </c>
      <c r="C78" s="53" t="s">
        <v>500</v>
      </c>
      <c r="D78" s="133"/>
      <c r="E78" s="55" t="s">
        <v>58</v>
      </c>
      <c r="F78" s="56" t="s">
        <v>59</v>
      </c>
      <c r="G78" s="56" t="s">
        <v>64</v>
      </c>
      <c r="H78" s="56" t="s">
        <v>70</v>
      </c>
      <c r="I78" s="57" t="s">
        <v>65</v>
      </c>
    </row>
    <row r="79" spans="1:9" ht="24" hidden="1" x14ac:dyDescent="0.25">
      <c r="A79" s="51">
        <v>68</v>
      </c>
      <c r="B79" s="61" t="s">
        <v>596</v>
      </c>
      <c r="C79" s="53" t="s">
        <v>396</v>
      </c>
      <c r="D79" s="133"/>
      <c r="E79" s="55" t="s">
        <v>58</v>
      </c>
      <c r="F79" s="56" t="s">
        <v>59</v>
      </c>
      <c r="G79" s="56" t="s">
        <v>64</v>
      </c>
      <c r="H79" s="56" t="s">
        <v>70</v>
      </c>
      <c r="I79" s="57" t="s">
        <v>65</v>
      </c>
    </row>
    <row r="80" spans="1:9" ht="24" hidden="1" x14ac:dyDescent="0.25">
      <c r="A80" s="51">
        <v>69</v>
      </c>
      <c r="B80" s="61" t="s">
        <v>597</v>
      </c>
      <c r="C80" s="53" t="s">
        <v>123</v>
      </c>
      <c r="D80" s="133"/>
      <c r="E80" s="55" t="s">
        <v>58</v>
      </c>
      <c r="F80" s="56" t="s">
        <v>59</v>
      </c>
      <c r="G80" s="56" t="s">
        <v>64</v>
      </c>
      <c r="H80" s="56" t="s">
        <v>70</v>
      </c>
      <c r="I80" s="57" t="s">
        <v>65</v>
      </c>
    </row>
    <row r="81" spans="1:9" ht="24" hidden="1" x14ac:dyDescent="0.25">
      <c r="A81" s="51">
        <v>70</v>
      </c>
      <c r="B81" s="61" t="s">
        <v>598</v>
      </c>
      <c r="C81" s="53" t="s">
        <v>259</v>
      </c>
      <c r="D81" s="133"/>
      <c r="E81" s="55" t="s">
        <v>58</v>
      </c>
      <c r="F81" s="56" t="s">
        <v>59</v>
      </c>
      <c r="G81" s="56" t="s">
        <v>64</v>
      </c>
      <c r="H81" s="56" t="s">
        <v>70</v>
      </c>
      <c r="I81" s="57" t="s">
        <v>65</v>
      </c>
    </row>
    <row r="82" spans="1:9" ht="24" hidden="1" x14ac:dyDescent="0.25">
      <c r="A82" s="51">
        <v>71</v>
      </c>
      <c r="B82" s="61" t="s">
        <v>599</v>
      </c>
      <c r="C82" s="53" t="s">
        <v>259</v>
      </c>
      <c r="D82" s="133"/>
      <c r="E82" s="55" t="s">
        <v>58</v>
      </c>
      <c r="F82" s="56" t="s">
        <v>59</v>
      </c>
      <c r="G82" s="56" t="s">
        <v>64</v>
      </c>
      <c r="H82" s="56" t="s">
        <v>70</v>
      </c>
      <c r="I82" s="57" t="s">
        <v>65</v>
      </c>
    </row>
    <row r="83" spans="1:9" ht="24" hidden="1" x14ac:dyDescent="0.25">
      <c r="A83" s="51">
        <v>72</v>
      </c>
      <c r="B83" s="61" t="s">
        <v>600</v>
      </c>
      <c r="C83" s="53" t="s">
        <v>396</v>
      </c>
      <c r="D83" s="133"/>
      <c r="E83" s="55" t="s">
        <v>58</v>
      </c>
      <c r="F83" s="56" t="s">
        <v>59</v>
      </c>
      <c r="G83" s="56" t="s">
        <v>64</v>
      </c>
      <c r="H83" s="56" t="s">
        <v>70</v>
      </c>
      <c r="I83" s="57" t="s">
        <v>65</v>
      </c>
    </row>
    <row r="84" spans="1:9" ht="24" x14ac:dyDescent="0.25">
      <c r="A84" s="51">
        <v>17</v>
      </c>
      <c r="B84" s="61" t="s">
        <v>862</v>
      </c>
      <c r="C84" s="53" t="s">
        <v>259</v>
      </c>
      <c r="D84" s="134">
        <f>377000/1.21</f>
        <v>311570.24793388433</v>
      </c>
      <c r="E84" s="55" t="s">
        <v>58</v>
      </c>
      <c r="F84" s="56" t="s">
        <v>59</v>
      </c>
      <c r="G84" s="56" t="s">
        <v>64</v>
      </c>
      <c r="H84" s="56" t="s">
        <v>70</v>
      </c>
      <c r="I84" s="57" t="s">
        <v>65</v>
      </c>
    </row>
    <row r="85" spans="1:9" s="27" customFormat="1" ht="12.75" x14ac:dyDescent="0.2">
      <c r="A85" s="203" t="s">
        <v>188</v>
      </c>
      <c r="B85" s="204"/>
      <c r="C85" s="205"/>
      <c r="D85" s="58">
        <f>SUM(D32:D84)*1.21</f>
        <v>377000</v>
      </c>
      <c r="E85" s="55"/>
      <c r="F85" s="56"/>
      <c r="G85" s="56"/>
      <c r="H85" s="56"/>
      <c r="I85" s="57"/>
    </row>
    <row r="86" spans="1:9" ht="24" x14ac:dyDescent="0.25">
      <c r="A86" s="51">
        <v>18</v>
      </c>
      <c r="B86" s="61" t="s">
        <v>76</v>
      </c>
      <c r="C86" s="61" t="s">
        <v>80</v>
      </c>
      <c r="D86" s="54">
        <f>5000*8</f>
        <v>40000</v>
      </c>
      <c r="E86" s="55" t="s">
        <v>58</v>
      </c>
      <c r="F86" s="56" t="s">
        <v>59</v>
      </c>
      <c r="G86" s="56" t="s">
        <v>64</v>
      </c>
      <c r="H86" s="56" t="s">
        <v>70</v>
      </c>
      <c r="I86" s="57" t="s">
        <v>65</v>
      </c>
    </row>
    <row r="87" spans="1:9" ht="24" x14ac:dyDescent="0.25">
      <c r="A87" s="51">
        <v>19</v>
      </c>
      <c r="B87" s="61" t="s">
        <v>77</v>
      </c>
      <c r="C87" s="61" t="s">
        <v>81</v>
      </c>
      <c r="D87" s="54">
        <v>2000</v>
      </c>
      <c r="E87" s="55" t="s">
        <v>58</v>
      </c>
      <c r="F87" s="56" t="s">
        <v>59</v>
      </c>
      <c r="G87" s="56" t="s">
        <v>64</v>
      </c>
      <c r="H87" s="56" t="s">
        <v>70</v>
      </c>
      <c r="I87" s="57" t="s">
        <v>65</v>
      </c>
    </row>
    <row r="88" spans="1:9" ht="24" x14ac:dyDescent="0.25">
      <c r="A88" s="51">
        <v>20</v>
      </c>
      <c r="B88" s="61" t="s">
        <v>78</v>
      </c>
      <c r="C88" s="61" t="s">
        <v>82</v>
      </c>
      <c r="D88" s="54">
        <v>1000</v>
      </c>
      <c r="E88" s="55" t="s">
        <v>58</v>
      </c>
      <c r="F88" s="56" t="s">
        <v>59</v>
      </c>
      <c r="G88" s="56" t="s">
        <v>64</v>
      </c>
      <c r="H88" s="56" t="s">
        <v>70</v>
      </c>
      <c r="I88" s="57" t="s">
        <v>65</v>
      </c>
    </row>
    <row r="89" spans="1:9" ht="24" x14ac:dyDescent="0.25">
      <c r="A89" s="51">
        <v>21</v>
      </c>
      <c r="B89" s="61" t="s">
        <v>79</v>
      </c>
      <c r="C89" s="61" t="s">
        <v>83</v>
      </c>
      <c r="D89" s="54">
        <f>76000/1.21-D86-D87-D88</f>
        <v>19809.917355371901</v>
      </c>
      <c r="E89" s="55" t="s">
        <v>58</v>
      </c>
      <c r="F89" s="56" t="s">
        <v>59</v>
      </c>
      <c r="G89" s="56" t="s">
        <v>64</v>
      </c>
      <c r="H89" s="56" t="s">
        <v>70</v>
      </c>
      <c r="I89" s="57" t="s">
        <v>65</v>
      </c>
    </row>
    <row r="90" spans="1:9" s="27" customFormat="1" ht="12.75" x14ac:dyDescent="0.2">
      <c r="A90" s="203" t="s">
        <v>189</v>
      </c>
      <c r="B90" s="204"/>
      <c r="C90" s="205"/>
      <c r="D90" s="58">
        <f>SUM(D86:D89)*1.21</f>
        <v>76000</v>
      </c>
      <c r="E90" s="55"/>
      <c r="F90" s="56"/>
      <c r="G90" s="56"/>
      <c r="H90" s="56"/>
      <c r="I90" s="57"/>
    </row>
    <row r="91" spans="1:9" ht="24" x14ac:dyDescent="0.25">
      <c r="A91" s="51">
        <v>22</v>
      </c>
      <c r="B91" s="61" t="s">
        <v>1048</v>
      </c>
      <c r="C91" s="53" t="s">
        <v>259</v>
      </c>
      <c r="D91" s="134">
        <v>1380</v>
      </c>
      <c r="E91" s="55" t="s">
        <v>58</v>
      </c>
      <c r="F91" s="56" t="s">
        <v>59</v>
      </c>
      <c r="G91" s="56" t="s">
        <v>64</v>
      </c>
      <c r="H91" s="56" t="s">
        <v>70</v>
      </c>
      <c r="I91" s="57" t="s">
        <v>65</v>
      </c>
    </row>
    <row r="92" spans="1:9" ht="24" x14ac:dyDescent="0.25">
      <c r="A92" s="51">
        <v>23</v>
      </c>
      <c r="B92" s="61" t="s">
        <v>639</v>
      </c>
      <c r="C92" s="53" t="s">
        <v>259</v>
      </c>
      <c r="D92" s="134">
        <v>3898.5</v>
      </c>
      <c r="E92" s="55" t="s">
        <v>58</v>
      </c>
      <c r="F92" s="56" t="s">
        <v>59</v>
      </c>
      <c r="G92" s="56" t="s">
        <v>64</v>
      </c>
      <c r="H92" s="56" t="s">
        <v>70</v>
      </c>
      <c r="I92" s="57" t="s">
        <v>65</v>
      </c>
    </row>
    <row r="93" spans="1:9" ht="24" x14ac:dyDescent="0.25">
      <c r="A93" s="51">
        <v>24</v>
      </c>
      <c r="B93" s="61" t="s">
        <v>1049</v>
      </c>
      <c r="C93" s="53" t="s">
        <v>259</v>
      </c>
      <c r="D93" s="134">
        <v>3155.6</v>
      </c>
      <c r="E93" s="55" t="s">
        <v>58</v>
      </c>
      <c r="F93" s="56" t="s">
        <v>59</v>
      </c>
      <c r="G93" s="56" t="s">
        <v>64</v>
      </c>
      <c r="H93" s="56" t="s">
        <v>70</v>
      </c>
      <c r="I93" s="57" t="s">
        <v>65</v>
      </c>
    </row>
    <row r="94" spans="1:9" ht="24" x14ac:dyDescent="0.25">
      <c r="A94" s="51">
        <v>25</v>
      </c>
      <c r="B94" s="61" t="s">
        <v>1050</v>
      </c>
      <c r="C94" s="53" t="s">
        <v>259</v>
      </c>
      <c r="D94" s="134">
        <v>3155.6</v>
      </c>
      <c r="E94" s="55" t="s">
        <v>58</v>
      </c>
      <c r="F94" s="56" t="s">
        <v>59</v>
      </c>
      <c r="G94" s="56" t="s">
        <v>64</v>
      </c>
      <c r="H94" s="56" t="s">
        <v>70</v>
      </c>
      <c r="I94" s="57" t="s">
        <v>65</v>
      </c>
    </row>
    <row r="95" spans="1:9" ht="24" x14ac:dyDescent="0.25">
      <c r="A95" s="51">
        <v>26</v>
      </c>
      <c r="B95" s="61" t="s">
        <v>1053</v>
      </c>
      <c r="C95" s="53" t="s">
        <v>259</v>
      </c>
      <c r="D95" s="134">
        <v>742.91</v>
      </c>
      <c r="E95" s="55" t="s">
        <v>58</v>
      </c>
      <c r="F95" s="56" t="s">
        <v>59</v>
      </c>
      <c r="G95" s="56" t="s">
        <v>64</v>
      </c>
      <c r="H95" s="56" t="s">
        <v>70</v>
      </c>
      <c r="I95" s="57" t="s">
        <v>65</v>
      </c>
    </row>
    <row r="96" spans="1:9" ht="24" x14ac:dyDescent="0.25">
      <c r="A96" s="51">
        <v>27</v>
      </c>
      <c r="B96" s="61" t="s">
        <v>1054</v>
      </c>
      <c r="C96" s="53" t="s">
        <v>259</v>
      </c>
      <c r="D96" s="134">
        <v>411.7</v>
      </c>
      <c r="E96" s="55" t="s">
        <v>58</v>
      </c>
      <c r="F96" s="56" t="s">
        <v>59</v>
      </c>
      <c r="G96" s="56" t="s">
        <v>64</v>
      </c>
      <c r="H96" s="56" t="s">
        <v>70</v>
      </c>
      <c r="I96" s="57" t="s">
        <v>65</v>
      </c>
    </row>
    <row r="97" spans="1:9" ht="24" x14ac:dyDescent="0.25">
      <c r="A97" s="51">
        <v>28</v>
      </c>
      <c r="B97" s="61" t="s">
        <v>640</v>
      </c>
      <c r="C97" s="53" t="s">
        <v>259</v>
      </c>
      <c r="D97" s="134">
        <v>501.4</v>
      </c>
      <c r="E97" s="55" t="s">
        <v>58</v>
      </c>
      <c r="F97" s="56" t="s">
        <v>59</v>
      </c>
      <c r="G97" s="56" t="s">
        <v>64</v>
      </c>
      <c r="H97" s="56" t="s">
        <v>70</v>
      </c>
      <c r="I97" s="57" t="s">
        <v>65</v>
      </c>
    </row>
    <row r="98" spans="1:9" ht="24" x14ac:dyDescent="0.25">
      <c r="A98" s="51">
        <v>29</v>
      </c>
      <c r="B98" s="61" t="s">
        <v>1055</v>
      </c>
      <c r="C98" s="53" t="s">
        <v>259</v>
      </c>
      <c r="D98" s="134">
        <v>1104</v>
      </c>
      <c r="E98" s="55" t="s">
        <v>58</v>
      </c>
      <c r="F98" s="56" t="s">
        <v>59</v>
      </c>
      <c r="G98" s="56" t="s">
        <v>64</v>
      </c>
      <c r="H98" s="56" t="s">
        <v>70</v>
      </c>
      <c r="I98" s="57" t="s">
        <v>65</v>
      </c>
    </row>
    <row r="99" spans="1:9" ht="24" x14ac:dyDescent="0.25">
      <c r="A99" s="51">
        <v>30</v>
      </c>
      <c r="B99" s="61" t="s">
        <v>1061</v>
      </c>
      <c r="C99" s="53" t="s">
        <v>259</v>
      </c>
      <c r="D99" s="134">
        <v>4787.51</v>
      </c>
      <c r="E99" s="55" t="s">
        <v>58</v>
      </c>
      <c r="F99" s="56" t="s">
        <v>59</v>
      </c>
      <c r="G99" s="56" t="s">
        <v>64</v>
      </c>
      <c r="H99" s="56" t="s">
        <v>70</v>
      </c>
      <c r="I99" s="57" t="s">
        <v>65</v>
      </c>
    </row>
    <row r="100" spans="1:9" ht="24" x14ac:dyDescent="0.25">
      <c r="A100" s="51">
        <v>31</v>
      </c>
      <c r="B100" s="61" t="s">
        <v>642</v>
      </c>
      <c r="C100" s="53" t="s">
        <v>259</v>
      </c>
      <c r="D100" s="134">
        <v>6891.86</v>
      </c>
      <c r="E100" s="55" t="s">
        <v>58</v>
      </c>
      <c r="F100" s="56" t="s">
        <v>59</v>
      </c>
      <c r="G100" s="56" t="s">
        <v>64</v>
      </c>
      <c r="H100" s="56" t="s">
        <v>70</v>
      </c>
      <c r="I100" s="57" t="s">
        <v>65</v>
      </c>
    </row>
    <row r="101" spans="1:9" ht="24" x14ac:dyDescent="0.25">
      <c r="A101" s="51">
        <v>32</v>
      </c>
      <c r="B101" s="61" t="s">
        <v>1062</v>
      </c>
      <c r="C101" s="53" t="s">
        <v>259</v>
      </c>
      <c r="D101" s="134">
        <v>3680</v>
      </c>
      <c r="E101" s="55" t="s">
        <v>58</v>
      </c>
      <c r="F101" s="56" t="s">
        <v>59</v>
      </c>
      <c r="G101" s="56" t="s">
        <v>64</v>
      </c>
      <c r="H101" s="56" t="s">
        <v>70</v>
      </c>
      <c r="I101" s="57" t="s">
        <v>65</v>
      </c>
    </row>
    <row r="102" spans="1:9" ht="24" x14ac:dyDescent="0.25">
      <c r="A102" s="51">
        <v>33</v>
      </c>
      <c r="B102" s="61" t="s">
        <v>1073</v>
      </c>
      <c r="C102" s="53" t="s">
        <v>259</v>
      </c>
      <c r="D102" s="134">
        <v>200</v>
      </c>
      <c r="E102" s="55" t="s">
        <v>58</v>
      </c>
      <c r="F102" s="56" t="s">
        <v>59</v>
      </c>
      <c r="G102" s="56" t="s">
        <v>64</v>
      </c>
      <c r="H102" s="56" t="s">
        <v>70</v>
      </c>
      <c r="I102" s="57" t="s">
        <v>65</v>
      </c>
    </row>
    <row r="103" spans="1:9" ht="24" x14ac:dyDescent="0.25">
      <c r="A103" s="51">
        <v>34</v>
      </c>
      <c r="B103" s="61" t="s">
        <v>653</v>
      </c>
      <c r="C103" s="53" t="s">
        <v>259</v>
      </c>
      <c r="D103" s="134">
        <v>703.8</v>
      </c>
      <c r="E103" s="55" t="s">
        <v>58</v>
      </c>
      <c r="F103" s="56" t="s">
        <v>59</v>
      </c>
      <c r="G103" s="56" t="s">
        <v>64</v>
      </c>
      <c r="H103" s="56" t="s">
        <v>70</v>
      </c>
      <c r="I103" s="57" t="s">
        <v>65</v>
      </c>
    </row>
    <row r="104" spans="1:9" ht="24" x14ac:dyDescent="0.25">
      <c r="A104" s="51">
        <v>35</v>
      </c>
      <c r="B104" s="61" t="s">
        <v>1077</v>
      </c>
      <c r="C104" s="53" t="s">
        <v>259</v>
      </c>
      <c r="D104" s="134">
        <v>170.2</v>
      </c>
      <c r="E104" s="55" t="s">
        <v>58</v>
      </c>
      <c r="F104" s="56" t="s">
        <v>59</v>
      </c>
      <c r="G104" s="56" t="s">
        <v>64</v>
      </c>
      <c r="H104" s="56" t="s">
        <v>70</v>
      </c>
      <c r="I104" s="57" t="s">
        <v>65</v>
      </c>
    </row>
    <row r="105" spans="1:9" ht="36" x14ac:dyDescent="0.25">
      <c r="A105" s="51">
        <v>36</v>
      </c>
      <c r="B105" s="61" t="s">
        <v>87</v>
      </c>
      <c r="C105" s="61" t="s">
        <v>408</v>
      </c>
      <c r="D105" s="54">
        <f>53584.03/1.19</f>
        <v>45028.596638655465</v>
      </c>
      <c r="E105" s="55" t="s">
        <v>58</v>
      </c>
      <c r="F105" s="56" t="s">
        <v>59</v>
      </c>
      <c r="G105" s="56" t="s">
        <v>64</v>
      </c>
      <c r="H105" s="56" t="s">
        <v>70</v>
      </c>
      <c r="I105" s="57" t="s">
        <v>65</v>
      </c>
    </row>
    <row r="106" spans="1:9" ht="24" x14ac:dyDescent="0.25">
      <c r="A106" s="51">
        <v>37</v>
      </c>
      <c r="B106" s="61" t="s">
        <v>1462</v>
      </c>
      <c r="C106" s="61" t="s">
        <v>1063</v>
      </c>
      <c r="D106" s="54">
        <f>10154.27/1.19</f>
        <v>8533</v>
      </c>
      <c r="E106" s="55" t="s">
        <v>58</v>
      </c>
      <c r="F106" s="56" t="s">
        <v>59</v>
      </c>
      <c r="G106" s="56" t="s">
        <v>64</v>
      </c>
      <c r="H106" s="56" t="s">
        <v>70</v>
      </c>
      <c r="I106" s="57" t="s">
        <v>65</v>
      </c>
    </row>
    <row r="107" spans="1:9" ht="24" x14ac:dyDescent="0.25">
      <c r="A107" s="51">
        <v>38</v>
      </c>
      <c r="B107" s="61" t="s">
        <v>84</v>
      </c>
      <c r="C107" s="61" t="s">
        <v>91</v>
      </c>
      <c r="D107" s="54">
        <v>8000</v>
      </c>
      <c r="E107" s="55" t="s">
        <v>58</v>
      </c>
      <c r="F107" s="56" t="s">
        <v>59</v>
      </c>
      <c r="G107" s="56" t="s">
        <v>64</v>
      </c>
      <c r="H107" s="56" t="s">
        <v>70</v>
      </c>
      <c r="I107" s="57" t="s">
        <v>65</v>
      </c>
    </row>
    <row r="108" spans="1:9" ht="24" x14ac:dyDescent="0.25">
      <c r="A108" s="51">
        <v>39</v>
      </c>
      <c r="B108" s="61" t="s">
        <v>954</v>
      </c>
      <c r="C108" s="61" t="s">
        <v>75</v>
      </c>
      <c r="D108" s="134">
        <f>1750*12</f>
        <v>21000</v>
      </c>
      <c r="E108" s="55" t="s">
        <v>58</v>
      </c>
      <c r="F108" s="56" t="s">
        <v>59</v>
      </c>
      <c r="G108" s="56" t="s">
        <v>64</v>
      </c>
      <c r="H108" s="56" t="s">
        <v>70</v>
      </c>
      <c r="I108" s="57" t="s">
        <v>65</v>
      </c>
    </row>
    <row r="109" spans="1:9" ht="24" x14ac:dyDescent="0.25">
      <c r="A109" s="51">
        <v>40</v>
      </c>
      <c r="B109" s="61" t="s">
        <v>953</v>
      </c>
      <c r="C109" s="61" t="s">
        <v>75</v>
      </c>
      <c r="D109" s="54">
        <f>59000</f>
        <v>59000</v>
      </c>
      <c r="E109" s="55" t="s">
        <v>58</v>
      </c>
      <c r="F109" s="56" t="s">
        <v>59</v>
      </c>
      <c r="G109" s="56" t="s">
        <v>64</v>
      </c>
      <c r="H109" s="56" t="s">
        <v>70</v>
      </c>
      <c r="I109" s="57" t="s">
        <v>65</v>
      </c>
    </row>
    <row r="110" spans="1:9" ht="24" x14ac:dyDescent="0.25">
      <c r="A110" s="51">
        <v>41</v>
      </c>
      <c r="B110" s="61" t="s">
        <v>85</v>
      </c>
      <c r="C110" s="61" t="s">
        <v>92</v>
      </c>
      <c r="D110" s="54">
        <v>10000</v>
      </c>
      <c r="E110" s="55" t="s">
        <v>58</v>
      </c>
      <c r="F110" s="56" t="s">
        <v>59</v>
      </c>
      <c r="G110" s="56" t="s">
        <v>64</v>
      </c>
      <c r="H110" s="56" t="s">
        <v>128</v>
      </c>
      <c r="I110" s="57" t="s">
        <v>65</v>
      </c>
    </row>
    <row r="111" spans="1:9" ht="24" x14ac:dyDescent="0.25">
      <c r="A111" s="51">
        <v>42</v>
      </c>
      <c r="B111" s="61" t="s">
        <v>86</v>
      </c>
      <c r="C111" s="61" t="s">
        <v>93</v>
      </c>
      <c r="D111" s="54">
        <f>13000*12</f>
        <v>156000</v>
      </c>
      <c r="E111" s="55" t="s">
        <v>58</v>
      </c>
      <c r="F111" s="56" t="s">
        <v>59</v>
      </c>
      <c r="G111" s="56" t="s">
        <v>64</v>
      </c>
      <c r="H111" s="56" t="s">
        <v>128</v>
      </c>
      <c r="I111" s="57" t="s">
        <v>65</v>
      </c>
    </row>
    <row r="112" spans="1:9" ht="24" x14ac:dyDescent="0.25">
      <c r="A112" s="51">
        <v>43</v>
      </c>
      <c r="B112" s="61" t="s">
        <v>955</v>
      </c>
      <c r="C112" s="61" t="s">
        <v>93</v>
      </c>
      <c r="D112" s="54">
        <f>8000*12</f>
        <v>96000</v>
      </c>
      <c r="E112" s="55" t="s">
        <v>58</v>
      </c>
      <c r="F112" s="56" t="s">
        <v>59</v>
      </c>
      <c r="G112" s="56" t="s">
        <v>64</v>
      </c>
      <c r="H112" s="56" t="s">
        <v>128</v>
      </c>
      <c r="I112" s="57" t="s">
        <v>65</v>
      </c>
    </row>
    <row r="113" spans="1:9" ht="24" x14ac:dyDescent="0.25">
      <c r="A113" s="51">
        <v>44</v>
      </c>
      <c r="B113" s="61" t="s">
        <v>457</v>
      </c>
      <c r="C113" s="61" t="s">
        <v>93</v>
      </c>
      <c r="D113" s="54">
        <f>4000*12</f>
        <v>48000</v>
      </c>
      <c r="E113" s="55" t="s">
        <v>58</v>
      </c>
      <c r="F113" s="56" t="s">
        <v>59</v>
      </c>
      <c r="G113" s="56" t="s">
        <v>64</v>
      </c>
      <c r="H113" s="56" t="s">
        <v>128</v>
      </c>
      <c r="I113" s="57" t="s">
        <v>65</v>
      </c>
    </row>
    <row r="114" spans="1:9" ht="24" x14ac:dyDescent="0.25">
      <c r="A114" s="51">
        <v>45</v>
      </c>
      <c r="B114" s="61" t="s">
        <v>959</v>
      </c>
      <c r="C114" s="61" t="s">
        <v>960</v>
      </c>
      <c r="D114" s="54">
        <f>110400</f>
        <v>110400</v>
      </c>
      <c r="E114" s="55" t="s">
        <v>58</v>
      </c>
      <c r="F114" s="56" t="s">
        <v>59</v>
      </c>
      <c r="G114" s="56" t="s">
        <v>64</v>
      </c>
      <c r="H114" s="56" t="s">
        <v>128</v>
      </c>
      <c r="I114" s="57" t="s">
        <v>65</v>
      </c>
    </row>
    <row r="115" spans="1:9" ht="24" x14ac:dyDescent="0.25">
      <c r="A115" s="51">
        <v>46</v>
      </c>
      <c r="B115" s="61" t="s">
        <v>958</v>
      </c>
      <c r="C115" s="61" t="s">
        <v>956</v>
      </c>
      <c r="D115" s="54">
        <f>87120</f>
        <v>87120</v>
      </c>
      <c r="E115" s="55" t="s">
        <v>58</v>
      </c>
      <c r="F115" s="56" t="s">
        <v>59</v>
      </c>
      <c r="G115" s="56" t="s">
        <v>64</v>
      </c>
      <c r="H115" s="56" t="s">
        <v>128</v>
      </c>
      <c r="I115" s="57" t="s">
        <v>65</v>
      </c>
    </row>
    <row r="116" spans="1:9" ht="24" x14ac:dyDescent="0.25">
      <c r="A116" s="51">
        <v>47</v>
      </c>
      <c r="B116" s="61" t="s">
        <v>464</v>
      </c>
      <c r="C116" s="61" t="s">
        <v>465</v>
      </c>
      <c r="D116" s="54">
        <f>5000*12</f>
        <v>60000</v>
      </c>
      <c r="E116" s="55" t="s">
        <v>58</v>
      </c>
      <c r="F116" s="56" t="s">
        <v>59</v>
      </c>
      <c r="G116" s="56" t="s">
        <v>64</v>
      </c>
      <c r="H116" s="56" t="s">
        <v>128</v>
      </c>
      <c r="I116" s="57" t="s">
        <v>65</v>
      </c>
    </row>
    <row r="117" spans="1:9" ht="24" x14ac:dyDescent="0.25">
      <c r="A117" s="51">
        <v>48</v>
      </c>
      <c r="B117" s="61" t="s">
        <v>957</v>
      </c>
      <c r="C117" s="61" t="s">
        <v>956</v>
      </c>
      <c r="D117" s="54">
        <f>79200</f>
        <v>79200</v>
      </c>
      <c r="E117" s="55" t="s">
        <v>58</v>
      </c>
      <c r="F117" s="56" t="s">
        <v>59</v>
      </c>
      <c r="G117" s="56" t="s">
        <v>64</v>
      </c>
      <c r="H117" s="56" t="s">
        <v>128</v>
      </c>
      <c r="I117" s="57" t="s">
        <v>65</v>
      </c>
    </row>
    <row r="118" spans="1:9" ht="24" hidden="1" x14ac:dyDescent="0.25">
      <c r="A118" s="51">
        <v>105</v>
      </c>
      <c r="B118" s="61" t="s">
        <v>412</v>
      </c>
      <c r="C118" s="61" t="s">
        <v>413</v>
      </c>
      <c r="D118" s="54"/>
      <c r="E118" s="55" t="s">
        <v>58</v>
      </c>
      <c r="F118" s="56" t="s">
        <v>59</v>
      </c>
      <c r="G118" s="56" t="s">
        <v>64</v>
      </c>
      <c r="H118" s="56" t="s">
        <v>70</v>
      </c>
      <c r="I118" s="57" t="s">
        <v>65</v>
      </c>
    </row>
    <row r="119" spans="1:9" ht="24" x14ac:dyDescent="0.25">
      <c r="A119" s="51">
        <v>49</v>
      </c>
      <c r="B119" s="61" t="s">
        <v>88</v>
      </c>
      <c r="C119" s="61" t="s">
        <v>94</v>
      </c>
      <c r="D119" s="54">
        <v>50000</v>
      </c>
      <c r="E119" s="55" t="s">
        <v>58</v>
      </c>
      <c r="F119" s="56" t="s">
        <v>59</v>
      </c>
      <c r="G119" s="56" t="s">
        <v>64</v>
      </c>
      <c r="H119" s="56" t="s">
        <v>70</v>
      </c>
      <c r="I119" s="57" t="s">
        <v>65</v>
      </c>
    </row>
    <row r="120" spans="1:9" ht="24" hidden="1" x14ac:dyDescent="0.25">
      <c r="A120" s="51">
        <v>107</v>
      </c>
      <c r="B120" s="61" t="s">
        <v>89</v>
      </c>
      <c r="C120" s="61" t="s">
        <v>95</v>
      </c>
      <c r="D120" s="54"/>
      <c r="E120" s="55" t="s">
        <v>58</v>
      </c>
      <c r="F120" s="56" t="s">
        <v>59</v>
      </c>
      <c r="G120" s="56" t="s">
        <v>64</v>
      </c>
      <c r="H120" s="56" t="s">
        <v>70</v>
      </c>
      <c r="I120" s="57" t="s">
        <v>65</v>
      </c>
    </row>
    <row r="121" spans="1:9" ht="24" hidden="1" x14ac:dyDescent="0.25">
      <c r="A121" s="51">
        <v>108</v>
      </c>
      <c r="B121" s="61" t="s">
        <v>416</v>
      </c>
      <c r="C121" s="61" t="s">
        <v>96</v>
      </c>
      <c r="D121" s="54"/>
      <c r="E121" s="55" t="s">
        <v>58</v>
      </c>
      <c r="F121" s="56" t="s">
        <v>59</v>
      </c>
      <c r="G121" s="56" t="s">
        <v>64</v>
      </c>
      <c r="H121" s="56" t="s">
        <v>70</v>
      </c>
      <c r="I121" s="57" t="s">
        <v>65</v>
      </c>
    </row>
    <row r="122" spans="1:9" ht="24" hidden="1" x14ac:dyDescent="0.25">
      <c r="A122" s="51">
        <v>109</v>
      </c>
      <c r="B122" s="53" t="s">
        <v>394</v>
      </c>
      <c r="C122" s="53" t="s">
        <v>395</v>
      </c>
      <c r="D122" s="54"/>
      <c r="E122" s="55" t="s">
        <v>58</v>
      </c>
      <c r="F122" s="56" t="s">
        <v>59</v>
      </c>
      <c r="G122" s="56" t="s">
        <v>64</v>
      </c>
      <c r="H122" s="56" t="s">
        <v>70</v>
      </c>
      <c r="I122" s="57" t="s">
        <v>65</v>
      </c>
    </row>
    <row r="123" spans="1:9" ht="24" x14ac:dyDescent="0.25">
      <c r="A123" s="51">
        <v>50</v>
      </c>
      <c r="B123" s="61" t="s">
        <v>90</v>
      </c>
      <c r="C123" s="61" t="s">
        <v>97</v>
      </c>
      <c r="D123" s="54">
        <v>3000</v>
      </c>
      <c r="E123" s="55" t="s">
        <v>58</v>
      </c>
      <c r="F123" s="56" t="s">
        <v>59</v>
      </c>
      <c r="G123" s="56" t="s">
        <v>64</v>
      </c>
      <c r="H123" s="56" t="s">
        <v>70</v>
      </c>
      <c r="I123" s="57" t="s">
        <v>65</v>
      </c>
    </row>
    <row r="124" spans="1:9" ht="24" x14ac:dyDescent="0.25">
      <c r="A124" s="51">
        <v>51</v>
      </c>
      <c r="B124" s="61" t="s">
        <v>848</v>
      </c>
      <c r="C124" s="61" t="s">
        <v>110</v>
      </c>
      <c r="D124" s="54">
        <v>3500</v>
      </c>
      <c r="E124" s="55" t="s">
        <v>58</v>
      </c>
      <c r="F124" s="56" t="s">
        <v>59</v>
      </c>
      <c r="G124" s="56" t="s">
        <v>64</v>
      </c>
      <c r="H124" s="56" t="s">
        <v>128</v>
      </c>
      <c r="I124" s="57" t="s">
        <v>65</v>
      </c>
    </row>
    <row r="125" spans="1:9" s="27" customFormat="1" ht="12.75" x14ac:dyDescent="0.2">
      <c r="A125" s="203" t="s">
        <v>190</v>
      </c>
      <c r="B125" s="204"/>
      <c r="C125" s="205"/>
      <c r="D125" s="58">
        <f>SUM(D91:D124)*1.21</f>
        <v>1059433.2587327731</v>
      </c>
      <c r="E125" s="55"/>
      <c r="F125" s="56"/>
      <c r="G125" s="56"/>
      <c r="H125" s="56"/>
      <c r="I125" s="57"/>
    </row>
    <row r="126" spans="1:9" ht="24" x14ac:dyDescent="0.25">
      <c r="A126" s="51">
        <v>52</v>
      </c>
      <c r="B126" s="61" t="s">
        <v>98</v>
      </c>
      <c r="C126" s="61" t="s">
        <v>107</v>
      </c>
      <c r="D126" s="54">
        <f>3000*12</f>
        <v>36000</v>
      </c>
      <c r="E126" s="55" t="s">
        <v>58</v>
      </c>
      <c r="F126" s="56" t="s">
        <v>59</v>
      </c>
      <c r="G126" s="56" t="s">
        <v>64</v>
      </c>
      <c r="H126" s="56" t="s">
        <v>70</v>
      </c>
      <c r="I126" s="57" t="s">
        <v>65</v>
      </c>
    </row>
    <row r="127" spans="1:9" ht="24" x14ac:dyDescent="0.25">
      <c r="A127" s="51">
        <v>53</v>
      </c>
      <c r="B127" s="61" t="s">
        <v>99</v>
      </c>
      <c r="C127" s="61" t="s">
        <v>108</v>
      </c>
      <c r="D127" s="54">
        <f>12000*12</f>
        <v>144000</v>
      </c>
      <c r="E127" s="55" t="s">
        <v>58</v>
      </c>
      <c r="F127" s="56" t="s">
        <v>59</v>
      </c>
      <c r="G127" s="56" t="s">
        <v>64</v>
      </c>
      <c r="H127" s="56" t="s">
        <v>70</v>
      </c>
      <c r="I127" s="57" t="s">
        <v>65</v>
      </c>
    </row>
    <row r="128" spans="1:9" ht="24" x14ac:dyDescent="0.25">
      <c r="A128" s="51">
        <v>54</v>
      </c>
      <c r="B128" s="61" t="s">
        <v>100</v>
      </c>
      <c r="C128" s="61" t="s">
        <v>109</v>
      </c>
      <c r="D128" s="54">
        <f>177*12</f>
        <v>2124</v>
      </c>
      <c r="E128" s="55" t="s">
        <v>58</v>
      </c>
      <c r="F128" s="56" t="s">
        <v>59</v>
      </c>
      <c r="G128" s="56" t="s">
        <v>64</v>
      </c>
      <c r="H128" s="56" t="s">
        <v>70</v>
      </c>
      <c r="I128" s="57" t="s">
        <v>65</v>
      </c>
    </row>
    <row r="129" spans="1:9" ht="24" x14ac:dyDescent="0.25">
      <c r="A129" s="51">
        <v>55</v>
      </c>
      <c r="B129" s="61" t="s">
        <v>101</v>
      </c>
      <c r="C129" s="61" t="s">
        <v>111</v>
      </c>
      <c r="D129" s="54">
        <v>23380</v>
      </c>
      <c r="E129" s="55" t="s">
        <v>58</v>
      </c>
      <c r="F129" s="56" t="s">
        <v>59</v>
      </c>
      <c r="G129" s="56" t="s">
        <v>64</v>
      </c>
      <c r="H129" s="56" t="s">
        <v>70</v>
      </c>
      <c r="I129" s="57" t="s">
        <v>65</v>
      </c>
    </row>
    <row r="130" spans="1:9" ht="24" x14ac:dyDescent="0.25">
      <c r="A130" s="51">
        <v>56</v>
      </c>
      <c r="B130" s="61" t="s">
        <v>102</v>
      </c>
      <c r="C130" s="61" t="s">
        <v>112</v>
      </c>
      <c r="D130" s="54">
        <f>1700*12</f>
        <v>20400</v>
      </c>
      <c r="E130" s="55" t="s">
        <v>58</v>
      </c>
      <c r="F130" s="56" t="s">
        <v>59</v>
      </c>
      <c r="G130" s="56" t="s">
        <v>64</v>
      </c>
      <c r="H130" s="56" t="s">
        <v>70</v>
      </c>
      <c r="I130" s="57" t="s">
        <v>65</v>
      </c>
    </row>
    <row r="131" spans="1:9" ht="60" x14ac:dyDescent="0.25">
      <c r="A131" s="51">
        <v>57</v>
      </c>
      <c r="B131" s="61" t="s">
        <v>306</v>
      </c>
      <c r="C131" s="61" t="s">
        <v>113</v>
      </c>
      <c r="D131" s="54">
        <v>15000</v>
      </c>
      <c r="E131" s="55" t="s">
        <v>58</v>
      </c>
      <c r="F131" s="56" t="s">
        <v>59</v>
      </c>
      <c r="G131" s="56" t="s">
        <v>64</v>
      </c>
      <c r="H131" s="56" t="s">
        <v>70</v>
      </c>
      <c r="I131" s="57" t="s">
        <v>65</v>
      </c>
    </row>
    <row r="132" spans="1:9" ht="24" x14ac:dyDescent="0.25">
      <c r="A132" s="51">
        <v>58</v>
      </c>
      <c r="B132" s="61" t="s">
        <v>103</v>
      </c>
      <c r="C132" s="61" t="s">
        <v>114</v>
      </c>
      <c r="D132" s="54">
        <v>1500</v>
      </c>
      <c r="E132" s="55" t="s">
        <v>58</v>
      </c>
      <c r="F132" s="56" t="s">
        <v>59</v>
      </c>
      <c r="G132" s="56" t="s">
        <v>64</v>
      </c>
      <c r="H132" s="56" t="s">
        <v>70</v>
      </c>
      <c r="I132" s="57" t="s">
        <v>65</v>
      </c>
    </row>
    <row r="133" spans="1:9" ht="24" x14ac:dyDescent="0.25">
      <c r="A133" s="51">
        <v>59</v>
      </c>
      <c r="B133" s="61" t="s">
        <v>105</v>
      </c>
      <c r="C133" s="61" t="s">
        <v>116</v>
      </c>
      <c r="D133" s="54">
        <f>27600</f>
        <v>27600</v>
      </c>
      <c r="E133" s="55" t="s">
        <v>58</v>
      </c>
      <c r="F133" s="56" t="s">
        <v>59</v>
      </c>
      <c r="G133" s="56" t="s">
        <v>64</v>
      </c>
      <c r="H133" s="56" t="s">
        <v>70</v>
      </c>
      <c r="I133" s="57" t="s">
        <v>65</v>
      </c>
    </row>
    <row r="134" spans="1:9" ht="24" x14ac:dyDescent="0.25">
      <c r="A134" s="51">
        <v>60</v>
      </c>
      <c r="B134" s="61" t="s">
        <v>106</v>
      </c>
      <c r="C134" s="61" t="s">
        <v>117</v>
      </c>
      <c r="D134" s="54">
        <f>5400</f>
        <v>5400</v>
      </c>
      <c r="E134" s="55" t="s">
        <v>58</v>
      </c>
      <c r="F134" s="56" t="s">
        <v>59</v>
      </c>
      <c r="G134" s="56" t="s">
        <v>64</v>
      </c>
      <c r="H134" s="56" t="s">
        <v>70</v>
      </c>
      <c r="I134" s="57" t="s">
        <v>65</v>
      </c>
    </row>
    <row r="135" spans="1:9" ht="24" x14ac:dyDescent="0.25">
      <c r="A135" s="51">
        <v>61</v>
      </c>
      <c r="B135" s="61" t="s">
        <v>419</v>
      </c>
      <c r="C135" s="61" t="s">
        <v>75</v>
      </c>
      <c r="D135" s="54">
        <v>15000</v>
      </c>
      <c r="E135" s="55" t="s">
        <v>58</v>
      </c>
      <c r="F135" s="56" t="s">
        <v>59</v>
      </c>
      <c r="G135" s="56" t="s">
        <v>64</v>
      </c>
      <c r="H135" s="56" t="s">
        <v>70</v>
      </c>
      <c r="I135" s="57" t="s">
        <v>65</v>
      </c>
    </row>
    <row r="136" spans="1:9" ht="24" x14ac:dyDescent="0.25">
      <c r="A136" s="51">
        <v>62</v>
      </c>
      <c r="B136" s="61" t="s">
        <v>414</v>
      </c>
      <c r="C136" s="61" t="s">
        <v>307</v>
      </c>
      <c r="D136" s="54">
        <f>25000</f>
        <v>25000</v>
      </c>
      <c r="E136" s="55" t="s">
        <v>58</v>
      </c>
      <c r="F136" s="56" t="s">
        <v>59</v>
      </c>
      <c r="G136" s="56" t="s">
        <v>64</v>
      </c>
      <c r="H136" s="56" t="s">
        <v>70</v>
      </c>
      <c r="I136" s="57" t="s">
        <v>65</v>
      </c>
    </row>
    <row r="137" spans="1:9" ht="24" x14ac:dyDescent="0.25">
      <c r="A137" s="51">
        <v>63</v>
      </c>
      <c r="B137" s="61" t="s">
        <v>849</v>
      </c>
      <c r="C137" s="61" t="s">
        <v>118</v>
      </c>
      <c r="D137" s="54">
        <f>36000</f>
        <v>36000</v>
      </c>
      <c r="E137" s="55" t="s">
        <v>58</v>
      </c>
      <c r="F137" s="56" t="s">
        <v>59</v>
      </c>
      <c r="G137" s="56" t="s">
        <v>64</v>
      </c>
      <c r="H137" s="56" t="s">
        <v>70</v>
      </c>
      <c r="I137" s="57" t="s">
        <v>65</v>
      </c>
    </row>
    <row r="138" spans="1:9" ht="24" hidden="1" x14ac:dyDescent="0.25">
      <c r="A138" s="51">
        <v>116</v>
      </c>
      <c r="B138" s="61" t="s">
        <v>417</v>
      </c>
      <c r="C138" s="61" t="s">
        <v>418</v>
      </c>
      <c r="D138" s="54"/>
      <c r="E138" s="55" t="s">
        <v>58</v>
      </c>
      <c r="F138" s="56" t="s">
        <v>59</v>
      </c>
      <c r="G138" s="56" t="s">
        <v>64</v>
      </c>
      <c r="H138" s="56" t="s">
        <v>70</v>
      </c>
      <c r="I138" s="57" t="s">
        <v>65</v>
      </c>
    </row>
    <row r="139" spans="1:9" ht="24" hidden="1" x14ac:dyDescent="0.25">
      <c r="A139" s="51">
        <v>117</v>
      </c>
      <c r="B139" s="61" t="s">
        <v>415</v>
      </c>
      <c r="C139" s="61" t="s">
        <v>415</v>
      </c>
      <c r="D139" s="54"/>
      <c r="E139" s="55" t="s">
        <v>58</v>
      </c>
      <c r="F139" s="56" t="s">
        <v>59</v>
      </c>
      <c r="G139" s="56" t="s">
        <v>64</v>
      </c>
      <c r="H139" s="56" t="s">
        <v>70</v>
      </c>
      <c r="I139" s="57" t="s">
        <v>65</v>
      </c>
    </row>
    <row r="140" spans="1:9" ht="24" x14ac:dyDescent="0.25">
      <c r="A140" s="51">
        <v>64</v>
      </c>
      <c r="B140" s="61" t="s">
        <v>1470</v>
      </c>
      <c r="C140" s="61" t="s">
        <v>1471</v>
      </c>
      <c r="D140" s="54">
        <v>252</v>
      </c>
      <c r="E140" s="55" t="s">
        <v>58</v>
      </c>
      <c r="F140" s="56" t="s">
        <v>59</v>
      </c>
      <c r="G140" s="56" t="s">
        <v>64</v>
      </c>
      <c r="H140" s="56" t="s">
        <v>70</v>
      </c>
      <c r="I140" s="57" t="s">
        <v>65</v>
      </c>
    </row>
    <row r="141" spans="1:9" ht="24" x14ac:dyDescent="0.25">
      <c r="A141" s="51">
        <v>65</v>
      </c>
      <c r="B141" s="61" t="s">
        <v>304</v>
      </c>
      <c r="C141" s="61" t="s">
        <v>305</v>
      </c>
      <c r="D141" s="54">
        <v>6500</v>
      </c>
      <c r="E141" s="55" t="s">
        <v>58</v>
      </c>
      <c r="F141" s="56" t="s">
        <v>59</v>
      </c>
      <c r="G141" s="56" t="s">
        <v>64</v>
      </c>
      <c r="H141" s="56" t="s">
        <v>70</v>
      </c>
      <c r="I141" s="57" t="s">
        <v>65</v>
      </c>
    </row>
    <row r="142" spans="1:9" ht="24" x14ac:dyDescent="0.25">
      <c r="A142" s="51">
        <v>66</v>
      </c>
      <c r="B142" s="61" t="s">
        <v>1469</v>
      </c>
      <c r="C142" s="61" t="s">
        <v>115</v>
      </c>
      <c r="D142" s="54">
        <f>68700+68700</f>
        <v>137400</v>
      </c>
      <c r="E142" s="55" t="s">
        <v>58</v>
      </c>
      <c r="F142" s="56" t="s">
        <v>59</v>
      </c>
      <c r="G142" s="56" t="s">
        <v>64</v>
      </c>
      <c r="H142" s="56" t="s">
        <v>70</v>
      </c>
      <c r="I142" s="57" t="s">
        <v>65</v>
      </c>
    </row>
    <row r="143" spans="1:9" s="27" customFormat="1" ht="12.75" x14ac:dyDescent="0.2">
      <c r="A143" s="203" t="s">
        <v>191</v>
      </c>
      <c r="B143" s="204"/>
      <c r="C143" s="205"/>
      <c r="D143" s="58">
        <f>SUM(D126:D142)*1.21</f>
        <v>599622.76</v>
      </c>
      <c r="E143" s="55"/>
      <c r="F143" s="56"/>
      <c r="G143" s="56"/>
      <c r="H143" s="56"/>
      <c r="I143" s="57"/>
    </row>
    <row r="144" spans="1:9" ht="72" x14ac:dyDescent="0.25">
      <c r="A144" s="51">
        <v>67</v>
      </c>
      <c r="B144" s="61" t="s">
        <v>119</v>
      </c>
      <c r="C144" s="61" t="s">
        <v>120</v>
      </c>
      <c r="D144" s="54">
        <v>100000</v>
      </c>
      <c r="E144" s="55" t="s">
        <v>58</v>
      </c>
      <c r="F144" s="56" t="s">
        <v>59</v>
      </c>
      <c r="G144" s="56" t="s">
        <v>64</v>
      </c>
      <c r="H144" s="56" t="s">
        <v>70</v>
      </c>
      <c r="I144" s="57" t="s">
        <v>65</v>
      </c>
    </row>
    <row r="145" spans="1:9" ht="96" x14ac:dyDescent="0.25">
      <c r="A145" s="51">
        <v>68</v>
      </c>
      <c r="B145" s="61" t="s">
        <v>409</v>
      </c>
      <c r="C145" s="61" t="s">
        <v>121</v>
      </c>
      <c r="D145" s="54">
        <f>872000/1.21-D144</f>
        <v>620661.15702479344</v>
      </c>
      <c r="E145" s="55" t="s">
        <v>58</v>
      </c>
      <c r="F145" s="56" t="s">
        <v>59</v>
      </c>
      <c r="G145" s="56" t="s">
        <v>64</v>
      </c>
      <c r="H145" s="56" t="s">
        <v>70</v>
      </c>
      <c r="I145" s="57" t="s">
        <v>65</v>
      </c>
    </row>
    <row r="146" spans="1:9" s="27" customFormat="1" ht="12.75" x14ac:dyDescent="0.2">
      <c r="A146" s="203" t="s">
        <v>192</v>
      </c>
      <c r="B146" s="204"/>
      <c r="C146" s="205"/>
      <c r="D146" s="58">
        <f>SUM(D144:D145)*1.21</f>
        <v>872000</v>
      </c>
      <c r="E146" s="55"/>
      <c r="F146" s="56"/>
      <c r="G146" s="56"/>
      <c r="H146" s="56"/>
      <c r="I146" s="57"/>
    </row>
    <row r="147" spans="1:9" s="27" customFormat="1" ht="24" x14ac:dyDescent="0.2">
      <c r="A147" s="51">
        <v>69</v>
      </c>
      <c r="B147" s="52" t="s">
        <v>1486</v>
      </c>
      <c r="C147" s="52" t="s">
        <v>494</v>
      </c>
      <c r="D147" s="193">
        <v>8090</v>
      </c>
      <c r="E147" s="55" t="s">
        <v>58</v>
      </c>
      <c r="F147" s="56" t="s">
        <v>59</v>
      </c>
      <c r="G147" s="56" t="s">
        <v>64</v>
      </c>
      <c r="H147" s="56" t="s">
        <v>944</v>
      </c>
      <c r="I147" s="57" t="s">
        <v>65</v>
      </c>
    </row>
    <row r="148" spans="1:9" s="27" customFormat="1" ht="24" x14ac:dyDescent="0.2">
      <c r="A148" s="51">
        <v>70</v>
      </c>
      <c r="B148" s="52" t="s">
        <v>1487</v>
      </c>
      <c r="C148" s="52" t="s">
        <v>1488</v>
      </c>
      <c r="D148" s="193">
        <v>3100</v>
      </c>
      <c r="E148" s="55" t="s">
        <v>58</v>
      </c>
      <c r="F148" s="56" t="s">
        <v>59</v>
      </c>
      <c r="G148" s="56" t="s">
        <v>64</v>
      </c>
      <c r="H148" s="56" t="s">
        <v>944</v>
      </c>
      <c r="I148" s="57" t="s">
        <v>65</v>
      </c>
    </row>
    <row r="149" spans="1:9" s="27" customFormat="1" ht="24" x14ac:dyDescent="0.2">
      <c r="A149" s="51">
        <v>71</v>
      </c>
      <c r="B149" s="52" t="s">
        <v>1489</v>
      </c>
      <c r="C149" s="52" t="s">
        <v>923</v>
      </c>
      <c r="D149" s="193">
        <v>2554.5</v>
      </c>
      <c r="E149" s="55" t="s">
        <v>58</v>
      </c>
      <c r="F149" s="56" t="s">
        <v>59</v>
      </c>
      <c r="G149" s="56" t="s">
        <v>64</v>
      </c>
      <c r="H149" s="56" t="s">
        <v>944</v>
      </c>
      <c r="I149" s="57" t="s">
        <v>65</v>
      </c>
    </row>
    <row r="150" spans="1:9" s="27" customFormat="1" ht="24" x14ac:dyDescent="0.2">
      <c r="A150" s="51">
        <v>72</v>
      </c>
      <c r="B150" s="52" t="s">
        <v>481</v>
      </c>
      <c r="C150" s="52" t="s">
        <v>920</v>
      </c>
      <c r="D150" s="193">
        <v>640</v>
      </c>
      <c r="E150" s="55" t="s">
        <v>58</v>
      </c>
      <c r="F150" s="56" t="s">
        <v>59</v>
      </c>
      <c r="G150" s="56" t="s">
        <v>64</v>
      </c>
      <c r="H150" s="56" t="s">
        <v>944</v>
      </c>
      <c r="I150" s="57" t="s">
        <v>65</v>
      </c>
    </row>
    <row r="151" spans="1:9" s="27" customFormat="1" ht="24" x14ac:dyDescent="0.2">
      <c r="A151" s="51">
        <v>73</v>
      </c>
      <c r="B151" s="52" t="s">
        <v>1490</v>
      </c>
      <c r="C151" s="52" t="s">
        <v>1484</v>
      </c>
      <c r="D151" s="193">
        <v>3700</v>
      </c>
      <c r="E151" s="55" t="s">
        <v>58</v>
      </c>
      <c r="F151" s="56" t="s">
        <v>59</v>
      </c>
      <c r="G151" s="56" t="s">
        <v>64</v>
      </c>
      <c r="H151" s="56" t="s">
        <v>944</v>
      </c>
      <c r="I151" s="57" t="s">
        <v>65</v>
      </c>
    </row>
    <row r="152" spans="1:9" s="27" customFormat="1" ht="24" x14ac:dyDescent="0.2">
      <c r="A152" s="51">
        <v>74</v>
      </c>
      <c r="B152" s="52" t="s">
        <v>880</v>
      </c>
      <c r="C152" s="52" t="s">
        <v>490</v>
      </c>
      <c r="D152" s="193">
        <v>1320</v>
      </c>
      <c r="E152" s="55" t="s">
        <v>58</v>
      </c>
      <c r="F152" s="56" t="s">
        <v>59</v>
      </c>
      <c r="G152" s="56" t="s">
        <v>64</v>
      </c>
      <c r="H152" s="56" t="s">
        <v>944</v>
      </c>
      <c r="I152" s="57" t="s">
        <v>65</v>
      </c>
    </row>
    <row r="153" spans="1:9" s="27" customFormat="1" ht="24" x14ac:dyDescent="0.2">
      <c r="A153" s="51">
        <v>75</v>
      </c>
      <c r="B153" s="52" t="s">
        <v>1491</v>
      </c>
      <c r="C153" s="52" t="s">
        <v>424</v>
      </c>
      <c r="D153" s="193">
        <v>4</v>
      </c>
      <c r="E153" s="55" t="s">
        <v>58</v>
      </c>
      <c r="F153" s="56" t="s">
        <v>59</v>
      </c>
      <c r="G153" s="56" t="s">
        <v>64</v>
      </c>
      <c r="H153" s="56" t="s">
        <v>944</v>
      </c>
      <c r="I153" s="57" t="s">
        <v>65</v>
      </c>
    </row>
    <row r="154" spans="1:9" s="27" customFormat="1" ht="24" x14ac:dyDescent="0.2">
      <c r="A154" s="51">
        <v>76</v>
      </c>
      <c r="B154" s="52" t="s">
        <v>1492</v>
      </c>
      <c r="C154" s="52" t="s">
        <v>1493</v>
      </c>
      <c r="D154" s="193">
        <v>7990</v>
      </c>
      <c r="E154" s="55" t="s">
        <v>58</v>
      </c>
      <c r="F154" s="56" t="s">
        <v>59</v>
      </c>
      <c r="G154" s="56" t="s">
        <v>64</v>
      </c>
      <c r="H154" s="56" t="s">
        <v>944</v>
      </c>
      <c r="I154" s="57" t="s">
        <v>65</v>
      </c>
    </row>
    <row r="155" spans="1:9" s="27" customFormat="1" ht="24" x14ac:dyDescent="0.2">
      <c r="A155" s="51">
        <v>77</v>
      </c>
      <c r="B155" s="52" t="s">
        <v>1494</v>
      </c>
      <c r="C155" s="52" t="s">
        <v>490</v>
      </c>
      <c r="D155" s="193">
        <v>448</v>
      </c>
      <c r="E155" s="55" t="s">
        <v>58</v>
      </c>
      <c r="F155" s="56" t="s">
        <v>59</v>
      </c>
      <c r="G155" s="56" t="s">
        <v>64</v>
      </c>
      <c r="H155" s="56" t="s">
        <v>944</v>
      </c>
      <c r="I155" s="57" t="s">
        <v>65</v>
      </c>
    </row>
    <row r="156" spans="1:9" s="27" customFormat="1" ht="24" x14ac:dyDescent="0.2">
      <c r="A156" s="51">
        <v>78</v>
      </c>
      <c r="B156" s="52" t="s">
        <v>881</v>
      </c>
      <c r="C156" s="52" t="s">
        <v>411</v>
      </c>
      <c r="D156" s="193">
        <v>763</v>
      </c>
      <c r="E156" s="55" t="s">
        <v>58</v>
      </c>
      <c r="F156" s="56" t="s">
        <v>59</v>
      </c>
      <c r="G156" s="56" t="s">
        <v>64</v>
      </c>
      <c r="H156" s="56" t="s">
        <v>944</v>
      </c>
      <c r="I156" s="57" t="s">
        <v>65</v>
      </c>
    </row>
    <row r="157" spans="1:9" s="27" customFormat="1" ht="24" x14ac:dyDescent="0.2">
      <c r="A157" s="51">
        <v>79</v>
      </c>
      <c r="B157" s="52" t="s">
        <v>884</v>
      </c>
      <c r="C157" s="52" t="s">
        <v>1495</v>
      </c>
      <c r="D157" s="193">
        <v>6930</v>
      </c>
      <c r="E157" s="55" t="s">
        <v>58</v>
      </c>
      <c r="F157" s="56" t="s">
        <v>59</v>
      </c>
      <c r="G157" s="56" t="s">
        <v>64</v>
      </c>
      <c r="H157" s="56" t="s">
        <v>944</v>
      </c>
      <c r="I157" s="57" t="s">
        <v>65</v>
      </c>
    </row>
    <row r="158" spans="1:9" s="27" customFormat="1" ht="24" x14ac:dyDescent="0.2">
      <c r="A158" s="51">
        <v>80</v>
      </c>
      <c r="B158" s="52" t="s">
        <v>1496</v>
      </c>
      <c r="C158" s="52" t="s">
        <v>410</v>
      </c>
      <c r="D158" s="193">
        <v>671</v>
      </c>
      <c r="E158" s="55" t="s">
        <v>58</v>
      </c>
      <c r="F158" s="56" t="s">
        <v>59</v>
      </c>
      <c r="G158" s="56" t="s">
        <v>64</v>
      </c>
      <c r="H158" s="56" t="s">
        <v>944</v>
      </c>
      <c r="I158" s="57" t="s">
        <v>65</v>
      </c>
    </row>
    <row r="159" spans="1:9" s="27" customFormat="1" ht="24" x14ac:dyDescent="0.2">
      <c r="A159" s="51">
        <v>81</v>
      </c>
      <c r="B159" s="52" t="s">
        <v>1497</v>
      </c>
      <c r="C159" s="52" t="s">
        <v>410</v>
      </c>
      <c r="D159" s="193">
        <v>520</v>
      </c>
      <c r="E159" s="55" t="s">
        <v>58</v>
      </c>
      <c r="F159" s="56" t="s">
        <v>59</v>
      </c>
      <c r="G159" s="56" t="s">
        <v>64</v>
      </c>
      <c r="H159" s="56" t="s">
        <v>944</v>
      </c>
      <c r="I159" s="57" t="s">
        <v>65</v>
      </c>
    </row>
    <row r="160" spans="1:9" s="27" customFormat="1" ht="24" x14ac:dyDescent="0.2">
      <c r="A160" s="51">
        <v>82</v>
      </c>
      <c r="B160" s="52" t="s">
        <v>482</v>
      </c>
      <c r="C160" s="52" t="s">
        <v>390</v>
      </c>
      <c r="D160" s="193">
        <v>570</v>
      </c>
      <c r="E160" s="55" t="s">
        <v>58</v>
      </c>
      <c r="F160" s="56" t="s">
        <v>59</v>
      </c>
      <c r="G160" s="56" t="s">
        <v>64</v>
      </c>
      <c r="H160" s="56" t="s">
        <v>944</v>
      </c>
      <c r="I160" s="57" t="s">
        <v>65</v>
      </c>
    </row>
    <row r="161" spans="1:9" s="27" customFormat="1" ht="24" x14ac:dyDescent="0.2">
      <c r="A161" s="51">
        <v>83</v>
      </c>
      <c r="B161" s="52" t="s">
        <v>1498</v>
      </c>
      <c r="C161" s="52" t="s">
        <v>1499</v>
      </c>
      <c r="D161" s="193">
        <v>38.1</v>
      </c>
      <c r="E161" s="55" t="s">
        <v>58</v>
      </c>
      <c r="F161" s="56" t="s">
        <v>59</v>
      </c>
      <c r="G161" s="56" t="s">
        <v>64</v>
      </c>
      <c r="H161" s="56" t="s">
        <v>944</v>
      </c>
      <c r="I161" s="57" t="s">
        <v>65</v>
      </c>
    </row>
    <row r="162" spans="1:9" s="27" customFormat="1" ht="24" x14ac:dyDescent="0.2">
      <c r="A162" s="51">
        <v>84</v>
      </c>
      <c r="B162" s="52" t="s">
        <v>1500</v>
      </c>
      <c r="C162" s="52" t="s">
        <v>410</v>
      </c>
      <c r="D162" s="193">
        <v>1313</v>
      </c>
      <c r="E162" s="55" t="s">
        <v>58</v>
      </c>
      <c r="F162" s="56" t="s">
        <v>59</v>
      </c>
      <c r="G162" s="56" t="s">
        <v>64</v>
      </c>
      <c r="H162" s="56" t="s">
        <v>944</v>
      </c>
      <c r="I162" s="57" t="s">
        <v>65</v>
      </c>
    </row>
    <row r="163" spans="1:9" s="27" customFormat="1" ht="24" x14ac:dyDescent="0.2">
      <c r="A163" s="51">
        <v>85</v>
      </c>
      <c r="B163" s="52" t="s">
        <v>1501</v>
      </c>
      <c r="C163" s="52" t="s">
        <v>488</v>
      </c>
      <c r="D163" s="193">
        <v>6888</v>
      </c>
      <c r="E163" s="55" t="s">
        <v>58</v>
      </c>
      <c r="F163" s="56" t="s">
        <v>59</v>
      </c>
      <c r="G163" s="56" t="s">
        <v>64</v>
      </c>
      <c r="H163" s="56" t="s">
        <v>944</v>
      </c>
      <c r="I163" s="57" t="s">
        <v>65</v>
      </c>
    </row>
    <row r="164" spans="1:9" s="27" customFormat="1" ht="24" x14ac:dyDescent="0.2">
      <c r="A164" s="51">
        <v>86</v>
      </c>
      <c r="B164" s="52" t="s">
        <v>1502</v>
      </c>
      <c r="C164" s="52" t="s">
        <v>488</v>
      </c>
      <c r="D164" s="193">
        <v>4241.5</v>
      </c>
      <c r="E164" s="55" t="s">
        <v>58</v>
      </c>
      <c r="F164" s="56" t="s">
        <v>59</v>
      </c>
      <c r="G164" s="56" t="s">
        <v>64</v>
      </c>
      <c r="H164" s="56" t="s">
        <v>944</v>
      </c>
      <c r="I164" s="57" t="s">
        <v>65</v>
      </c>
    </row>
    <row r="165" spans="1:9" s="27" customFormat="1" ht="24" x14ac:dyDescent="0.2">
      <c r="A165" s="51">
        <v>87</v>
      </c>
      <c r="B165" s="52" t="s">
        <v>1503</v>
      </c>
      <c r="C165" s="52" t="s">
        <v>924</v>
      </c>
      <c r="D165" s="193">
        <v>10570</v>
      </c>
      <c r="E165" s="55" t="s">
        <v>58</v>
      </c>
      <c r="F165" s="56" t="s">
        <v>59</v>
      </c>
      <c r="G165" s="56" t="s">
        <v>64</v>
      </c>
      <c r="H165" s="56" t="s">
        <v>944</v>
      </c>
      <c r="I165" s="57" t="s">
        <v>65</v>
      </c>
    </row>
    <row r="166" spans="1:9" s="27" customFormat="1" ht="24" x14ac:dyDescent="0.2">
      <c r="A166" s="51">
        <v>88</v>
      </c>
      <c r="B166" s="52" t="s">
        <v>1504</v>
      </c>
      <c r="C166" s="52" t="s">
        <v>488</v>
      </c>
      <c r="D166" s="193">
        <v>1379</v>
      </c>
      <c r="E166" s="55" t="s">
        <v>58</v>
      </c>
      <c r="F166" s="56" t="s">
        <v>59</v>
      </c>
      <c r="G166" s="56" t="s">
        <v>64</v>
      </c>
      <c r="H166" s="56" t="s">
        <v>944</v>
      </c>
      <c r="I166" s="57" t="s">
        <v>65</v>
      </c>
    </row>
    <row r="167" spans="1:9" s="27" customFormat="1" ht="24" x14ac:dyDescent="0.2">
      <c r="A167" s="51">
        <v>89</v>
      </c>
      <c r="B167" s="52" t="s">
        <v>1505</v>
      </c>
      <c r="C167" s="52" t="s">
        <v>469</v>
      </c>
      <c r="D167" s="193">
        <v>850</v>
      </c>
      <c r="E167" s="55" t="s">
        <v>58</v>
      </c>
      <c r="F167" s="56" t="s">
        <v>59</v>
      </c>
      <c r="G167" s="56" t="s">
        <v>64</v>
      </c>
      <c r="H167" s="56" t="s">
        <v>944</v>
      </c>
      <c r="I167" s="57" t="s">
        <v>65</v>
      </c>
    </row>
    <row r="168" spans="1:9" s="27" customFormat="1" ht="24" x14ac:dyDescent="0.2">
      <c r="A168" s="51">
        <v>90</v>
      </c>
      <c r="B168" s="52" t="s">
        <v>1506</v>
      </c>
      <c r="C168" s="52" t="s">
        <v>1484</v>
      </c>
      <c r="D168" s="193">
        <v>1313.2</v>
      </c>
      <c r="E168" s="55" t="s">
        <v>58</v>
      </c>
      <c r="F168" s="56" t="s">
        <v>59</v>
      </c>
      <c r="G168" s="56" t="s">
        <v>64</v>
      </c>
      <c r="H168" s="56" t="s">
        <v>944</v>
      </c>
      <c r="I168" s="57" t="s">
        <v>65</v>
      </c>
    </row>
    <row r="169" spans="1:9" s="27" customFormat="1" ht="24" x14ac:dyDescent="0.2">
      <c r="A169" s="51">
        <v>91</v>
      </c>
      <c r="B169" s="52" t="s">
        <v>1507</v>
      </c>
      <c r="C169" s="52" t="s">
        <v>1484</v>
      </c>
      <c r="D169" s="193">
        <v>63630</v>
      </c>
      <c r="E169" s="55" t="s">
        <v>58</v>
      </c>
      <c r="F169" s="56" t="s">
        <v>59</v>
      </c>
      <c r="G169" s="56" t="s">
        <v>64</v>
      </c>
      <c r="H169" s="56" t="s">
        <v>944</v>
      </c>
      <c r="I169" s="57" t="s">
        <v>65</v>
      </c>
    </row>
    <row r="170" spans="1:9" s="27" customFormat="1" ht="24" x14ac:dyDescent="0.2">
      <c r="A170" s="51">
        <v>92</v>
      </c>
      <c r="B170" s="52" t="s">
        <v>1508</v>
      </c>
      <c r="C170" s="52" t="s">
        <v>1509</v>
      </c>
      <c r="D170" s="193">
        <v>822.1</v>
      </c>
      <c r="E170" s="55" t="s">
        <v>58</v>
      </c>
      <c r="F170" s="56" t="s">
        <v>59</v>
      </c>
      <c r="G170" s="56" t="s">
        <v>64</v>
      </c>
      <c r="H170" s="56" t="s">
        <v>944</v>
      </c>
      <c r="I170" s="57" t="s">
        <v>65</v>
      </c>
    </row>
    <row r="171" spans="1:9" s="27" customFormat="1" ht="24" x14ac:dyDescent="0.2">
      <c r="A171" s="51">
        <v>93</v>
      </c>
      <c r="B171" s="52" t="s">
        <v>1510</v>
      </c>
      <c r="C171" s="52" t="s">
        <v>1511</v>
      </c>
      <c r="D171" s="193">
        <v>194.5</v>
      </c>
      <c r="E171" s="55" t="s">
        <v>58</v>
      </c>
      <c r="F171" s="56" t="s">
        <v>59</v>
      </c>
      <c r="G171" s="56" t="s">
        <v>64</v>
      </c>
      <c r="H171" s="56" t="s">
        <v>944</v>
      </c>
      <c r="I171" s="57" t="s">
        <v>65</v>
      </c>
    </row>
    <row r="172" spans="1:9" s="27" customFormat="1" ht="24" x14ac:dyDescent="0.2">
      <c r="A172" s="51">
        <v>94</v>
      </c>
      <c r="B172" s="52" t="s">
        <v>1512</v>
      </c>
      <c r="C172" s="52" t="s">
        <v>1513</v>
      </c>
      <c r="D172" s="193">
        <v>0.6</v>
      </c>
      <c r="E172" s="55" t="s">
        <v>58</v>
      </c>
      <c r="F172" s="56" t="s">
        <v>59</v>
      </c>
      <c r="G172" s="56" t="s">
        <v>64</v>
      </c>
      <c r="H172" s="56" t="s">
        <v>944</v>
      </c>
      <c r="I172" s="57" t="s">
        <v>65</v>
      </c>
    </row>
    <row r="173" spans="1:9" s="27" customFormat="1" ht="24" x14ac:dyDescent="0.2">
      <c r="A173" s="51">
        <v>95</v>
      </c>
      <c r="B173" s="52" t="s">
        <v>1514</v>
      </c>
      <c r="C173" s="52" t="s">
        <v>411</v>
      </c>
      <c r="D173" s="193">
        <v>9018</v>
      </c>
      <c r="E173" s="55" t="s">
        <v>58</v>
      </c>
      <c r="F173" s="56" t="s">
        <v>59</v>
      </c>
      <c r="G173" s="56" t="s">
        <v>64</v>
      </c>
      <c r="H173" s="56" t="s">
        <v>944</v>
      </c>
      <c r="I173" s="57" t="s">
        <v>65</v>
      </c>
    </row>
    <row r="174" spans="1:9" s="27" customFormat="1" ht="24" x14ac:dyDescent="0.2">
      <c r="A174" s="51">
        <v>96</v>
      </c>
      <c r="B174" s="52" t="s">
        <v>1515</v>
      </c>
      <c r="C174" s="52" t="s">
        <v>492</v>
      </c>
      <c r="D174" s="193">
        <v>1925</v>
      </c>
      <c r="E174" s="55" t="s">
        <v>58</v>
      </c>
      <c r="F174" s="56" t="s">
        <v>59</v>
      </c>
      <c r="G174" s="56" t="s">
        <v>64</v>
      </c>
      <c r="H174" s="56" t="s">
        <v>944</v>
      </c>
      <c r="I174" s="57" t="s">
        <v>65</v>
      </c>
    </row>
    <row r="175" spans="1:9" s="27" customFormat="1" ht="24" x14ac:dyDescent="0.2">
      <c r="A175" s="51">
        <v>97</v>
      </c>
      <c r="B175" s="52" t="s">
        <v>1516</v>
      </c>
      <c r="C175" s="52" t="s">
        <v>425</v>
      </c>
      <c r="D175" s="193">
        <v>168</v>
      </c>
      <c r="E175" s="55" t="s">
        <v>58</v>
      </c>
      <c r="F175" s="56" t="s">
        <v>59</v>
      </c>
      <c r="G175" s="56" t="s">
        <v>64</v>
      </c>
      <c r="H175" s="56" t="s">
        <v>944</v>
      </c>
      <c r="I175" s="57" t="s">
        <v>65</v>
      </c>
    </row>
    <row r="176" spans="1:9" s="27" customFormat="1" ht="24" x14ac:dyDescent="0.2">
      <c r="A176" s="51">
        <v>98</v>
      </c>
      <c r="B176" s="52" t="s">
        <v>1517</v>
      </c>
      <c r="C176" s="52" t="s">
        <v>425</v>
      </c>
      <c r="D176" s="193">
        <v>3406</v>
      </c>
      <c r="E176" s="55" t="s">
        <v>58</v>
      </c>
      <c r="F176" s="56" t="s">
        <v>59</v>
      </c>
      <c r="G176" s="56" t="s">
        <v>64</v>
      </c>
      <c r="H176" s="56" t="s">
        <v>944</v>
      </c>
      <c r="I176" s="57" t="s">
        <v>65</v>
      </c>
    </row>
    <row r="177" spans="1:9" s="27" customFormat="1" ht="24" x14ac:dyDescent="0.2">
      <c r="A177" s="51">
        <v>99</v>
      </c>
      <c r="B177" s="52" t="s">
        <v>1518</v>
      </c>
      <c r="C177" s="52" t="s">
        <v>492</v>
      </c>
      <c r="D177" s="193">
        <v>264</v>
      </c>
      <c r="E177" s="55" t="s">
        <v>58</v>
      </c>
      <c r="F177" s="56" t="s">
        <v>59</v>
      </c>
      <c r="G177" s="56" t="s">
        <v>64</v>
      </c>
      <c r="H177" s="56" t="s">
        <v>944</v>
      </c>
      <c r="I177" s="57" t="s">
        <v>65</v>
      </c>
    </row>
    <row r="178" spans="1:9" s="27" customFormat="1" ht="24" x14ac:dyDescent="0.2">
      <c r="A178" s="51">
        <v>100</v>
      </c>
      <c r="B178" s="52" t="s">
        <v>1519</v>
      </c>
      <c r="C178" s="52" t="s">
        <v>1520</v>
      </c>
      <c r="D178" s="193">
        <v>10</v>
      </c>
      <c r="E178" s="55" t="s">
        <v>58</v>
      </c>
      <c r="F178" s="56" t="s">
        <v>59</v>
      </c>
      <c r="G178" s="56" t="s">
        <v>64</v>
      </c>
      <c r="H178" s="56" t="s">
        <v>944</v>
      </c>
      <c r="I178" s="57" t="s">
        <v>65</v>
      </c>
    </row>
    <row r="179" spans="1:9" s="27" customFormat="1" ht="24" x14ac:dyDescent="0.2">
      <c r="A179" s="51">
        <v>101</v>
      </c>
      <c r="B179" s="52" t="s">
        <v>1521</v>
      </c>
      <c r="C179" s="52" t="s">
        <v>494</v>
      </c>
      <c r="D179" s="193">
        <v>482.68</v>
      </c>
      <c r="E179" s="55" t="s">
        <v>58</v>
      </c>
      <c r="F179" s="56" t="s">
        <v>59</v>
      </c>
      <c r="G179" s="56" t="s">
        <v>64</v>
      </c>
      <c r="H179" s="56" t="s">
        <v>944</v>
      </c>
      <c r="I179" s="57" t="s">
        <v>65</v>
      </c>
    </row>
    <row r="180" spans="1:9" s="27" customFormat="1" ht="24" x14ac:dyDescent="0.2">
      <c r="A180" s="51">
        <v>102</v>
      </c>
      <c r="B180" s="52" t="s">
        <v>1522</v>
      </c>
      <c r="C180" s="52" t="s">
        <v>488</v>
      </c>
      <c r="D180" s="193">
        <v>1483</v>
      </c>
      <c r="E180" s="55" t="s">
        <v>58</v>
      </c>
      <c r="F180" s="56" t="s">
        <v>59</v>
      </c>
      <c r="G180" s="56" t="s">
        <v>64</v>
      </c>
      <c r="H180" s="56" t="s">
        <v>944</v>
      </c>
      <c r="I180" s="57" t="s">
        <v>65</v>
      </c>
    </row>
    <row r="181" spans="1:9" s="27" customFormat="1" ht="24" x14ac:dyDescent="0.2">
      <c r="A181" s="51">
        <v>103</v>
      </c>
      <c r="B181" s="52" t="s">
        <v>1523</v>
      </c>
      <c r="C181" s="52" t="s">
        <v>469</v>
      </c>
      <c r="D181" s="193">
        <v>504</v>
      </c>
      <c r="E181" s="55" t="s">
        <v>58</v>
      </c>
      <c r="F181" s="56" t="s">
        <v>59</v>
      </c>
      <c r="G181" s="56" t="s">
        <v>64</v>
      </c>
      <c r="H181" s="56" t="s">
        <v>944</v>
      </c>
      <c r="I181" s="57" t="s">
        <v>65</v>
      </c>
    </row>
    <row r="182" spans="1:9" s="27" customFormat="1" ht="24" x14ac:dyDescent="0.2">
      <c r="A182" s="51">
        <v>104</v>
      </c>
      <c r="B182" s="52" t="s">
        <v>1524</v>
      </c>
      <c r="C182" s="52" t="s">
        <v>469</v>
      </c>
      <c r="D182" s="193">
        <v>5754</v>
      </c>
      <c r="E182" s="55" t="s">
        <v>58</v>
      </c>
      <c r="F182" s="56" t="s">
        <v>59</v>
      </c>
      <c r="G182" s="56" t="s">
        <v>64</v>
      </c>
      <c r="H182" s="56" t="s">
        <v>944</v>
      </c>
      <c r="I182" s="57" t="s">
        <v>65</v>
      </c>
    </row>
    <row r="183" spans="1:9" s="27" customFormat="1" ht="24" x14ac:dyDescent="0.2">
      <c r="A183" s="51">
        <v>105</v>
      </c>
      <c r="B183" s="52" t="s">
        <v>1525</v>
      </c>
      <c r="C183" s="52" t="s">
        <v>1526</v>
      </c>
      <c r="D183" s="193">
        <v>414</v>
      </c>
      <c r="E183" s="55" t="s">
        <v>58</v>
      </c>
      <c r="F183" s="56" t="s">
        <v>59</v>
      </c>
      <c r="G183" s="56" t="s">
        <v>64</v>
      </c>
      <c r="H183" s="56" t="s">
        <v>944</v>
      </c>
      <c r="I183" s="57" t="s">
        <v>65</v>
      </c>
    </row>
    <row r="184" spans="1:9" s="27" customFormat="1" ht="24" x14ac:dyDescent="0.2">
      <c r="A184" s="51">
        <v>106</v>
      </c>
      <c r="B184" s="52" t="s">
        <v>1527</v>
      </c>
      <c r="C184" s="52" t="s">
        <v>488</v>
      </c>
      <c r="D184" s="193">
        <v>181569</v>
      </c>
      <c r="E184" s="55" t="s">
        <v>58</v>
      </c>
      <c r="F184" s="56" t="s">
        <v>59</v>
      </c>
      <c r="G184" s="56" t="s">
        <v>64</v>
      </c>
      <c r="H184" s="56" t="s">
        <v>944</v>
      </c>
      <c r="I184" s="57" t="s">
        <v>65</v>
      </c>
    </row>
    <row r="185" spans="1:9" s="27" customFormat="1" ht="24" x14ac:dyDescent="0.2">
      <c r="A185" s="51">
        <v>107</v>
      </c>
      <c r="B185" s="52" t="s">
        <v>1528</v>
      </c>
      <c r="C185" s="52" t="s">
        <v>491</v>
      </c>
      <c r="D185" s="193">
        <v>1200</v>
      </c>
      <c r="E185" s="55" t="s">
        <v>58</v>
      </c>
      <c r="F185" s="56" t="s">
        <v>59</v>
      </c>
      <c r="G185" s="56" t="s">
        <v>64</v>
      </c>
      <c r="H185" s="56" t="s">
        <v>944</v>
      </c>
      <c r="I185" s="57" t="s">
        <v>65</v>
      </c>
    </row>
    <row r="186" spans="1:9" s="27" customFormat="1" ht="24" x14ac:dyDescent="0.2">
      <c r="A186" s="51">
        <v>108</v>
      </c>
      <c r="B186" s="52" t="s">
        <v>1529</v>
      </c>
      <c r="C186" s="52" t="s">
        <v>1530</v>
      </c>
      <c r="D186" s="193">
        <v>138.19999999999999</v>
      </c>
      <c r="E186" s="55" t="s">
        <v>58</v>
      </c>
      <c r="F186" s="56" t="s">
        <v>59</v>
      </c>
      <c r="G186" s="56" t="s">
        <v>64</v>
      </c>
      <c r="H186" s="56" t="s">
        <v>944</v>
      </c>
      <c r="I186" s="57" t="s">
        <v>65</v>
      </c>
    </row>
    <row r="187" spans="1:9" s="27" customFormat="1" ht="24" x14ac:dyDescent="0.2">
      <c r="A187" s="51">
        <v>109</v>
      </c>
      <c r="B187" s="52" t="s">
        <v>484</v>
      </c>
      <c r="C187" s="52" t="s">
        <v>410</v>
      </c>
      <c r="D187" s="193">
        <v>40</v>
      </c>
      <c r="E187" s="55" t="s">
        <v>58</v>
      </c>
      <c r="F187" s="56" t="s">
        <v>59</v>
      </c>
      <c r="G187" s="56" t="s">
        <v>64</v>
      </c>
      <c r="H187" s="56" t="s">
        <v>944</v>
      </c>
      <c r="I187" s="57" t="s">
        <v>65</v>
      </c>
    </row>
    <row r="188" spans="1:9" s="27" customFormat="1" ht="24" x14ac:dyDescent="0.2">
      <c r="A188" s="51">
        <v>110</v>
      </c>
      <c r="B188" s="52" t="s">
        <v>1531</v>
      </c>
      <c r="C188" s="52" t="s">
        <v>1532</v>
      </c>
      <c r="D188" s="193">
        <v>450</v>
      </c>
      <c r="E188" s="55" t="s">
        <v>58</v>
      </c>
      <c r="F188" s="56" t="s">
        <v>59</v>
      </c>
      <c r="G188" s="56" t="s">
        <v>64</v>
      </c>
      <c r="H188" s="56" t="s">
        <v>944</v>
      </c>
      <c r="I188" s="57" t="s">
        <v>65</v>
      </c>
    </row>
    <row r="189" spans="1:9" s="27" customFormat="1" ht="24" x14ac:dyDescent="0.2">
      <c r="A189" s="51">
        <v>111</v>
      </c>
      <c r="B189" s="52" t="s">
        <v>1533</v>
      </c>
      <c r="C189" s="52" t="s">
        <v>1534</v>
      </c>
      <c r="D189" s="193">
        <v>18204</v>
      </c>
      <c r="E189" s="55" t="s">
        <v>58</v>
      </c>
      <c r="F189" s="56" t="s">
        <v>59</v>
      </c>
      <c r="G189" s="56" t="s">
        <v>64</v>
      </c>
      <c r="H189" s="56" t="s">
        <v>944</v>
      </c>
      <c r="I189" s="57" t="s">
        <v>65</v>
      </c>
    </row>
    <row r="190" spans="1:9" s="27" customFormat="1" ht="24" x14ac:dyDescent="0.2">
      <c r="A190" s="51">
        <v>112</v>
      </c>
      <c r="B190" s="52" t="s">
        <v>1535</v>
      </c>
      <c r="C190" s="52" t="s">
        <v>1484</v>
      </c>
      <c r="D190" s="193">
        <v>862</v>
      </c>
      <c r="E190" s="55" t="s">
        <v>58</v>
      </c>
      <c r="F190" s="56" t="s">
        <v>59</v>
      </c>
      <c r="G190" s="56" t="s">
        <v>64</v>
      </c>
      <c r="H190" s="56" t="s">
        <v>944</v>
      </c>
      <c r="I190" s="57" t="s">
        <v>65</v>
      </c>
    </row>
    <row r="191" spans="1:9" s="27" customFormat="1" ht="24" x14ac:dyDescent="0.2">
      <c r="A191" s="51">
        <v>113</v>
      </c>
      <c r="B191" s="52" t="s">
        <v>1536</v>
      </c>
      <c r="C191" s="52" t="s">
        <v>489</v>
      </c>
      <c r="D191" s="193">
        <v>1212</v>
      </c>
      <c r="E191" s="55" t="s">
        <v>58</v>
      </c>
      <c r="F191" s="56" t="s">
        <v>59</v>
      </c>
      <c r="G191" s="56" t="s">
        <v>64</v>
      </c>
      <c r="H191" s="56" t="s">
        <v>944</v>
      </c>
      <c r="I191" s="57" t="s">
        <v>65</v>
      </c>
    </row>
    <row r="192" spans="1:9" s="27" customFormat="1" ht="24" x14ac:dyDescent="0.2">
      <c r="A192" s="51">
        <v>114</v>
      </c>
      <c r="B192" s="52" t="s">
        <v>1537</v>
      </c>
      <c r="C192" s="52" t="s">
        <v>1538</v>
      </c>
      <c r="D192" s="193">
        <v>150</v>
      </c>
      <c r="E192" s="55" t="s">
        <v>58</v>
      </c>
      <c r="F192" s="56" t="s">
        <v>59</v>
      </c>
      <c r="G192" s="56" t="s">
        <v>64</v>
      </c>
      <c r="H192" s="56" t="s">
        <v>944</v>
      </c>
      <c r="I192" s="57" t="s">
        <v>65</v>
      </c>
    </row>
    <row r="193" spans="1:9" s="27" customFormat="1" ht="24" x14ac:dyDescent="0.2">
      <c r="A193" s="51">
        <v>115</v>
      </c>
      <c r="B193" s="52" t="s">
        <v>1539</v>
      </c>
      <c r="C193" s="52" t="s">
        <v>411</v>
      </c>
      <c r="D193" s="193">
        <v>14870</v>
      </c>
      <c r="E193" s="55" t="s">
        <v>58</v>
      </c>
      <c r="F193" s="56" t="s">
        <v>59</v>
      </c>
      <c r="G193" s="56" t="s">
        <v>64</v>
      </c>
      <c r="H193" s="56" t="s">
        <v>944</v>
      </c>
      <c r="I193" s="57" t="s">
        <v>65</v>
      </c>
    </row>
    <row r="194" spans="1:9" s="27" customFormat="1" ht="24" x14ac:dyDescent="0.2">
      <c r="A194" s="51">
        <v>116</v>
      </c>
      <c r="B194" s="52" t="s">
        <v>1540</v>
      </c>
      <c r="C194" s="52" t="s">
        <v>488</v>
      </c>
      <c r="D194" s="193">
        <v>1880</v>
      </c>
      <c r="E194" s="55" t="s">
        <v>58</v>
      </c>
      <c r="F194" s="56" t="s">
        <v>59</v>
      </c>
      <c r="G194" s="56" t="s">
        <v>64</v>
      </c>
      <c r="H194" s="56" t="s">
        <v>944</v>
      </c>
      <c r="I194" s="57" t="s">
        <v>65</v>
      </c>
    </row>
    <row r="195" spans="1:9" s="27" customFormat="1" ht="24" x14ac:dyDescent="0.2">
      <c r="A195" s="51">
        <v>117</v>
      </c>
      <c r="B195" s="52" t="s">
        <v>1541</v>
      </c>
      <c r="C195" s="52" t="s">
        <v>920</v>
      </c>
      <c r="D195" s="193">
        <v>6400</v>
      </c>
      <c r="E195" s="55" t="s">
        <v>58</v>
      </c>
      <c r="F195" s="56" t="s">
        <v>59</v>
      </c>
      <c r="G195" s="56" t="s">
        <v>64</v>
      </c>
      <c r="H195" s="56" t="s">
        <v>944</v>
      </c>
      <c r="I195" s="57" t="s">
        <v>65</v>
      </c>
    </row>
    <row r="196" spans="1:9" s="27" customFormat="1" ht="24" x14ac:dyDescent="0.2">
      <c r="A196" s="51">
        <v>118</v>
      </c>
      <c r="B196" s="52" t="s">
        <v>1542</v>
      </c>
      <c r="C196" s="52" t="s">
        <v>175</v>
      </c>
      <c r="D196" s="193">
        <v>9608.99</v>
      </c>
      <c r="E196" s="55" t="s">
        <v>58</v>
      </c>
      <c r="F196" s="56" t="s">
        <v>59</v>
      </c>
      <c r="G196" s="56" t="s">
        <v>64</v>
      </c>
      <c r="H196" s="56" t="s">
        <v>944</v>
      </c>
      <c r="I196" s="57" t="s">
        <v>65</v>
      </c>
    </row>
    <row r="197" spans="1:9" s="27" customFormat="1" ht="24" x14ac:dyDescent="0.2">
      <c r="A197" s="51">
        <v>119</v>
      </c>
      <c r="B197" s="52" t="s">
        <v>1543</v>
      </c>
      <c r="C197" s="52" t="s">
        <v>1544</v>
      </c>
      <c r="D197" s="193">
        <v>1035.0999999999999</v>
      </c>
      <c r="E197" s="55" t="s">
        <v>58</v>
      </c>
      <c r="F197" s="56" t="s">
        <v>59</v>
      </c>
      <c r="G197" s="56" t="s">
        <v>64</v>
      </c>
      <c r="H197" s="56" t="s">
        <v>944</v>
      </c>
      <c r="I197" s="57" t="s">
        <v>65</v>
      </c>
    </row>
    <row r="198" spans="1:9" s="27" customFormat="1" ht="24" x14ac:dyDescent="0.2">
      <c r="A198" s="51">
        <v>120</v>
      </c>
      <c r="B198" s="52" t="s">
        <v>1545</v>
      </c>
      <c r="C198" s="52" t="s">
        <v>1546</v>
      </c>
      <c r="D198" s="193">
        <v>391</v>
      </c>
      <c r="E198" s="55" t="s">
        <v>58</v>
      </c>
      <c r="F198" s="56" t="s">
        <v>59</v>
      </c>
      <c r="G198" s="56" t="s">
        <v>64</v>
      </c>
      <c r="H198" s="56" t="s">
        <v>944</v>
      </c>
      <c r="I198" s="57" t="s">
        <v>65</v>
      </c>
    </row>
    <row r="199" spans="1:9" s="27" customFormat="1" ht="24" x14ac:dyDescent="0.2">
      <c r="A199" s="51">
        <v>121</v>
      </c>
      <c r="B199" s="52" t="s">
        <v>1547</v>
      </c>
      <c r="C199" s="52" t="s">
        <v>492</v>
      </c>
      <c r="D199" s="193">
        <v>498.5</v>
      </c>
      <c r="E199" s="55" t="s">
        <v>58</v>
      </c>
      <c r="F199" s="56" t="s">
        <v>59</v>
      </c>
      <c r="G199" s="56" t="s">
        <v>64</v>
      </c>
      <c r="H199" s="56" t="s">
        <v>944</v>
      </c>
      <c r="I199" s="57" t="s">
        <v>65</v>
      </c>
    </row>
    <row r="200" spans="1:9" s="27" customFormat="1" ht="24" x14ac:dyDescent="0.2">
      <c r="A200" s="51">
        <v>122</v>
      </c>
      <c r="B200" s="52" t="s">
        <v>1548</v>
      </c>
      <c r="C200" s="52" t="s">
        <v>1549</v>
      </c>
      <c r="D200" s="193">
        <v>2642.95</v>
      </c>
      <c r="E200" s="55" t="s">
        <v>58</v>
      </c>
      <c r="F200" s="56" t="s">
        <v>59</v>
      </c>
      <c r="G200" s="56" t="s">
        <v>64</v>
      </c>
      <c r="H200" s="56" t="s">
        <v>944</v>
      </c>
      <c r="I200" s="57" t="s">
        <v>65</v>
      </c>
    </row>
    <row r="201" spans="1:9" s="27" customFormat="1" ht="24" x14ac:dyDescent="0.2">
      <c r="A201" s="51">
        <v>123</v>
      </c>
      <c r="B201" s="52" t="s">
        <v>1550</v>
      </c>
      <c r="C201" s="52" t="s">
        <v>469</v>
      </c>
      <c r="D201" s="193">
        <v>416</v>
      </c>
      <c r="E201" s="55" t="s">
        <v>58</v>
      </c>
      <c r="F201" s="56" t="s">
        <v>59</v>
      </c>
      <c r="G201" s="56" t="s">
        <v>64</v>
      </c>
      <c r="H201" s="56" t="s">
        <v>944</v>
      </c>
      <c r="I201" s="57" t="s">
        <v>65</v>
      </c>
    </row>
    <row r="202" spans="1:9" s="27" customFormat="1" ht="24" x14ac:dyDescent="0.2">
      <c r="A202" s="51">
        <v>124</v>
      </c>
      <c r="B202" s="52" t="s">
        <v>1551</v>
      </c>
      <c r="C202" s="52" t="s">
        <v>1495</v>
      </c>
      <c r="D202" s="193">
        <v>997</v>
      </c>
      <c r="E202" s="55" t="s">
        <v>58</v>
      </c>
      <c r="F202" s="56" t="s">
        <v>59</v>
      </c>
      <c r="G202" s="56" t="s">
        <v>64</v>
      </c>
      <c r="H202" s="56" t="s">
        <v>944</v>
      </c>
      <c r="I202" s="57" t="s">
        <v>65</v>
      </c>
    </row>
    <row r="203" spans="1:9" s="27" customFormat="1" ht="24" x14ac:dyDescent="0.2">
      <c r="A203" s="51">
        <v>125</v>
      </c>
      <c r="B203" s="52" t="s">
        <v>1552</v>
      </c>
      <c r="C203" s="52" t="s">
        <v>488</v>
      </c>
      <c r="D203" s="193">
        <v>4757</v>
      </c>
      <c r="E203" s="55" t="s">
        <v>58</v>
      </c>
      <c r="F203" s="56" t="s">
        <v>59</v>
      </c>
      <c r="G203" s="56" t="s">
        <v>64</v>
      </c>
      <c r="H203" s="56" t="s">
        <v>944</v>
      </c>
      <c r="I203" s="57" t="s">
        <v>65</v>
      </c>
    </row>
    <row r="204" spans="1:9" s="27" customFormat="1" ht="24" x14ac:dyDescent="0.2">
      <c r="A204" s="51">
        <v>126</v>
      </c>
      <c r="B204" s="52" t="s">
        <v>1553</v>
      </c>
      <c r="C204" s="52" t="s">
        <v>469</v>
      </c>
      <c r="D204" s="193">
        <v>19585</v>
      </c>
      <c r="E204" s="55" t="s">
        <v>58</v>
      </c>
      <c r="F204" s="56" t="s">
        <v>59</v>
      </c>
      <c r="G204" s="56" t="s">
        <v>64</v>
      </c>
      <c r="H204" s="56" t="s">
        <v>944</v>
      </c>
      <c r="I204" s="57" t="s">
        <v>65</v>
      </c>
    </row>
    <row r="205" spans="1:9" s="27" customFormat="1" ht="24" x14ac:dyDescent="0.2">
      <c r="A205" s="51">
        <v>127</v>
      </c>
      <c r="B205" s="52" t="s">
        <v>901</v>
      </c>
      <c r="C205" s="52" t="s">
        <v>1554</v>
      </c>
      <c r="D205" s="193">
        <v>177</v>
      </c>
      <c r="E205" s="55" t="s">
        <v>58</v>
      </c>
      <c r="F205" s="56" t="s">
        <v>59</v>
      </c>
      <c r="G205" s="56" t="s">
        <v>64</v>
      </c>
      <c r="H205" s="56" t="s">
        <v>944</v>
      </c>
      <c r="I205" s="57" t="s">
        <v>65</v>
      </c>
    </row>
    <row r="206" spans="1:9" s="27" customFormat="1" ht="24" x14ac:dyDescent="0.2">
      <c r="A206" s="51">
        <v>128</v>
      </c>
      <c r="B206" s="52" t="s">
        <v>1555</v>
      </c>
      <c r="C206" s="52" t="s">
        <v>492</v>
      </c>
      <c r="D206" s="193">
        <v>1581</v>
      </c>
      <c r="E206" s="55" t="s">
        <v>58</v>
      </c>
      <c r="F206" s="56" t="s">
        <v>59</v>
      </c>
      <c r="G206" s="56" t="s">
        <v>64</v>
      </c>
      <c r="H206" s="56" t="s">
        <v>944</v>
      </c>
      <c r="I206" s="57" t="s">
        <v>65</v>
      </c>
    </row>
    <row r="207" spans="1:9" s="27" customFormat="1" ht="24" x14ac:dyDescent="0.2">
      <c r="A207" s="51">
        <v>129</v>
      </c>
      <c r="B207" s="52" t="s">
        <v>1556</v>
      </c>
      <c r="C207" s="52" t="s">
        <v>494</v>
      </c>
      <c r="D207" s="193">
        <v>16762</v>
      </c>
      <c r="E207" s="55" t="s">
        <v>58</v>
      </c>
      <c r="F207" s="56" t="s">
        <v>59</v>
      </c>
      <c r="G207" s="56" t="s">
        <v>64</v>
      </c>
      <c r="H207" s="56" t="s">
        <v>944</v>
      </c>
      <c r="I207" s="57" t="s">
        <v>65</v>
      </c>
    </row>
    <row r="208" spans="1:9" s="27" customFormat="1" ht="24" x14ac:dyDescent="0.2">
      <c r="A208" s="51">
        <v>130</v>
      </c>
      <c r="B208" s="52" t="s">
        <v>1557</v>
      </c>
      <c r="C208" s="52" t="s">
        <v>1484</v>
      </c>
      <c r="D208" s="193">
        <v>3507</v>
      </c>
      <c r="E208" s="55" t="s">
        <v>58</v>
      </c>
      <c r="F208" s="56" t="s">
        <v>59</v>
      </c>
      <c r="G208" s="56" t="s">
        <v>64</v>
      </c>
      <c r="H208" s="56" t="s">
        <v>944</v>
      </c>
      <c r="I208" s="57" t="s">
        <v>65</v>
      </c>
    </row>
    <row r="209" spans="1:9" s="27" customFormat="1" ht="24" x14ac:dyDescent="0.2">
      <c r="A209" s="51">
        <v>131</v>
      </c>
      <c r="B209" s="52" t="s">
        <v>1558</v>
      </c>
      <c r="C209" s="52" t="s">
        <v>411</v>
      </c>
      <c r="D209" s="193">
        <v>343</v>
      </c>
      <c r="E209" s="55" t="s">
        <v>58</v>
      </c>
      <c r="F209" s="56" t="s">
        <v>59</v>
      </c>
      <c r="G209" s="56" t="s">
        <v>64</v>
      </c>
      <c r="H209" s="56" t="s">
        <v>944</v>
      </c>
      <c r="I209" s="57" t="s">
        <v>65</v>
      </c>
    </row>
    <row r="210" spans="1:9" s="27" customFormat="1" ht="24" x14ac:dyDescent="0.2">
      <c r="A210" s="51">
        <v>132</v>
      </c>
      <c r="B210" s="52" t="s">
        <v>1559</v>
      </c>
      <c r="C210" s="52" t="s">
        <v>490</v>
      </c>
      <c r="D210" s="193">
        <v>281</v>
      </c>
      <c r="E210" s="55" t="s">
        <v>58</v>
      </c>
      <c r="F210" s="56" t="s">
        <v>59</v>
      </c>
      <c r="G210" s="56" t="s">
        <v>64</v>
      </c>
      <c r="H210" s="56" t="s">
        <v>944</v>
      </c>
      <c r="I210" s="57" t="s">
        <v>65</v>
      </c>
    </row>
    <row r="211" spans="1:9" s="27" customFormat="1" ht="24" x14ac:dyDescent="0.2">
      <c r="A211" s="51">
        <v>133</v>
      </c>
      <c r="B211" s="52" t="s">
        <v>1560</v>
      </c>
      <c r="C211" s="52" t="s">
        <v>1561</v>
      </c>
      <c r="D211" s="193">
        <v>394</v>
      </c>
      <c r="E211" s="55" t="s">
        <v>58</v>
      </c>
      <c r="F211" s="56" t="s">
        <v>59</v>
      </c>
      <c r="G211" s="56" t="s">
        <v>64</v>
      </c>
      <c r="H211" s="56" t="s">
        <v>944</v>
      </c>
      <c r="I211" s="57" t="s">
        <v>65</v>
      </c>
    </row>
    <row r="212" spans="1:9" s="27" customFormat="1" ht="24" x14ac:dyDescent="0.2">
      <c r="A212" s="51">
        <v>134</v>
      </c>
      <c r="B212" s="52" t="s">
        <v>1562</v>
      </c>
      <c r="C212" s="52" t="s">
        <v>490</v>
      </c>
      <c r="D212" s="193">
        <f>17966+14360</f>
        <v>32326</v>
      </c>
      <c r="E212" s="55" t="s">
        <v>58</v>
      </c>
      <c r="F212" s="56" t="s">
        <v>59</v>
      </c>
      <c r="G212" s="56" t="s">
        <v>64</v>
      </c>
      <c r="H212" s="56" t="s">
        <v>944</v>
      </c>
      <c r="I212" s="57" t="s">
        <v>65</v>
      </c>
    </row>
    <row r="213" spans="1:9" s="27" customFormat="1" ht="24" x14ac:dyDescent="0.2">
      <c r="A213" s="51">
        <v>135</v>
      </c>
      <c r="B213" s="52" t="s">
        <v>1563</v>
      </c>
      <c r="C213" s="52" t="s">
        <v>494</v>
      </c>
      <c r="D213" s="193">
        <v>2300</v>
      </c>
      <c r="E213" s="55" t="s">
        <v>58</v>
      </c>
      <c r="F213" s="56" t="s">
        <v>59</v>
      </c>
      <c r="G213" s="56" t="s">
        <v>64</v>
      </c>
      <c r="H213" s="56" t="s">
        <v>944</v>
      </c>
      <c r="I213" s="57" t="s">
        <v>65</v>
      </c>
    </row>
    <row r="214" spans="1:9" s="27" customFormat="1" ht="24" x14ac:dyDescent="0.2">
      <c r="A214" s="51">
        <v>136</v>
      </c>
      <c r="B214" s="52" t="s">
        <v>1564</v>
      </c>
      <c r="C214" s="52" t="s">
        <v>488</v>
      </c>
      <c r="D214" s="193">
        <v>3274</v>
      </c>
      <c r="E214" s="55" t="s">
        <v>58</v>
      </c>
      <c r="F214" s="56" t="s">
        <v>59</v>
      </c>
      <c r="G214" s="56" t="s">
        <v>64</v>
      </c>
      <c r="H214" s="56" t="s">
        <v>944</v>
      </c>
      <c r="I214" s="57" t="s">
        <v>65</v>
      </c>
    </row>
    <row r="215" spans="1:9" s="27" customFormat="1" ht="24" x14ac:dyDescent="0.2">
      <c r="A215" s="51">
        <v>137</v>
      </c>
      <c r="B215" s="52" t="s">
        <v>908</v>
      </c>
      <c r="C215" s="52" t="s">
        <v>1561</v>
      </c>
      <c r="D215" s="193">
        <v>1528.8</v>
      </c>
      <c r="E215" s="55" t="s">
        <v>58</v>
      </c>
      <c r="F215" s="56" t="s">
        <v>59</v>
      </c>
      <c r="G215" s="56" t="s">
        <v>64</v>
      </c>
      <c r="H215" s="56" t="s">
        <v>944</v>
      </c>
      <c r="I215" s="57" t="s">
        <v>65</v>
      </c>
    </row>
    <row r="216" spans="1:9" s="27" customFormat="1" ht="24" x14ac:dyDescent="0.2">
      <c r="A216" s="51">
        <v>138</v>
      </c>
      <c r="B216" s="52" t="s">
        <v>1565</v>
      </c>
      <c r="C216" s="52" t="s">
        <v>1475</v>
      </c>
      <c r="D216" s="193">
        <v>2191</v>
      </c>
      <c r="E216" s="55" t="s">
        <v>58</v>
      </c>
      <c r="F216" s="56" t="s">
        <v>59</v>
      </c>
      <c r="G216" s="56" t="s">
        <v>64</v>
      </c>
      <c r="H216" s="56" t="s">
        <v>944</v>
      </c>
      <c r="I216" s="57" t="s">
        <v>65</v>
      </c>
    </row>
    <row r="217" spans="1:9" s="27" customFormat="1" ht="24" x14ac:dyDescent="0.2">
      <c r="A217" s="51">
        <v>139</v>
      </c>
      <c r="B217" s="52" t="s">
        <v>1566</v>
      </c>
      <c r="C217" s="52" t="s">
        <v>1554</v>
      </c>
      <c r="D217" s="193">
        <v>1170</v>
      </c>
      <c r="E217" s="55" t="s">
        <v>58</v>
      </c>
      <c r="F217" s="56" t="s">
        <v>59</v>
      </c>
      <c r="G217" s="56" t="s">
        <v>64</v>
      </c>
      <c r="H217" s="56" t="s">
        <v>944</v>
      </c>
      <c r="I217" s="57" t="s">
        <v>65</v>
      </c>
    </row>
    <row r="218" spans="1:9" s="27" customFormat="1" ht="24" x14ac:dyDescent="0.2">
      <c r="A218" s="51">
        <v>140</v>
      </c>
      <c r="B218" s="52" t="s">
        <v>1567</v>
      </c>
      <c r="C218" s="52" t="s">
        <v>1568</v>
      </c>
      <c r="D218" s="193">
        <v>67961</v>
      </c>
      <c r="E218" s="55" t="s">
        <v>58</v>
      </c>
      <c r="F218" s="56" t="s">
        <v>59</v>
      </c>
      <c r="G218" s="56" t="s">
        <v>64</v>
      </c>
      <c r="H218" s="56" t="s">
        <v>944</v>
      </c>
      <c r="I218" s="57" t="s">
        <v>65</v>
      </c>
    </row>
    <row r="219" spans="1:9" s="27" customFormat="1" ht="24" x14ac:dyDescent="0.2">
      <c r="A219" s="51">
        <v>141</v>
      </c>
      <c r="B219" s="52" t="s">
        <v>1569</v>
      </c>
      <c r="C219" s="52" t="s">
        <v>1568</v>
      </c>
      <c r="D219" s="193">
        <v>4898</v>
      </c>
      <c r="E219" s="55" t="s">
        <v>58</v>
      </c>
      <c r="F219" s="56" t="s">
        <v>59</v>
      </c>
      <c r="G219" s="56" t="s">
        <v>64</v>
      </c>
      <c r="H219" s="56" t="s">
        <v>944</v>
      </c>
      <c r="I219" s="57" t="s">
        <v>65</v>
      </c>
    </row>
    <row r="220" spans="1:9" s="27" customFormat="1" ht="24" x14ac:dyDescent="0.2">
      <c r="A220" s="51">
        <v>142</v>
      </c>
      <c r="B220" s="52" t="s">
        <v>1570</v>
      </c>
      <c r="C220" s="52" t="s">
        <v>175</v>
      </c>
      <c r="D220" s="193">
        <v>12777.45</v>
      </c>
      <c r="E220" s="55" t="s">
        <v>58</v>
      </c>
      <c r="F220" s="56" t="s">
        <v>59</v>
      </c>
      <c r="G220" s="56" t="s">
        <v>64</v>
      </c>
      <c r="H220" s="56" t="s">
        <v>944</v>
      </c>
      <c r="I220" s="57" t="s">
        <v>65</v>
      </c>
    </row>
    <row r="221" spans="1:9" s="27" customFormat="1" ht="24" x14ac:dyDescent="0.2">
      <c r="A221" s="51">
        <v>143</v>
      </c>
      <c r="B221" s="52" t="s">
        <v>1571</v>
      </c>
      <c r="C221" s="52" t="s">
        <v>1572</v>
      </c>
      <c r="D221" s="193">
        <v>874</v>
      </c>
      <c r="E221" s="55" t="s">
        <v>58</v>
      </c>
      <c r="F221" s="56" t="s">
        <v>59</v>
      </c>
      <c r="G221" s="56" t="s">
        <v>64</v>
      </c>
      <c r="H221" s="56" t="s">
        <v>944</v>
      </c>
      <c r="I221" s="57" t="s">
        <v>65</v>
      </c>
    </row>
    <row r="222" spans="1:9" s="27" customFormat="1" ht="24" x14ac:dyDescent="0.2">
      <c r="A222" s="51">
        <v>144</v>
      </c>
      <c r="B222" s="52" t="s">
        <v>1573</v>
      </c>
      <c r="C222" s="52" t="s">
        <v>922</v>
      </c>
      <c r="D222" s="193">
        <v>1053.5999999999999</v>
      </c>
      <c r="E222" s="55" t="s">
        <v>58</v>
      </c>
      <c r="F222" s="56" t="s">
        <v>59</v>
      </c>
      <c r="G222" s="56" t="s">
        <v>64</v>
      </c>
      <c r="H222" s="56" t="s">
        <v>944</v>
      </c>
      <c r="I222" s="57" t="s">
        <v>65</v>
      </c>
    </row>
    <row r="223" spans="1:9" s="27" customFormat="1" ht="24" x14ac:dyDescent="0.2">
      <c r="A223" s="51">
        <v>145</v>
      </c>
      <c r="B223" s="52" t="s">
        <v>1574</v>
      </c>
      <c r="C223" s="52" t="s">
        <v>1532</v>
      </c>
      <c r="D223" s="193">
        <v>18200</v>
      </c>
      <c r="E223" s="55" t="s">
        <v>58</v>
      </c>
      <c r="F223" s="56" t="s">
        <v>59</v>
      </c>
      <c r="G223" s="56" t="s">
        <v>64</v>
      </c>
      <c r="H223" s="56" t="s">
        <v>944</v>
      </c>
      <c r="I223" s="57" t="s">
        <v>65</v>
      </c>
    </row>
    <row r="224" spans="1:9" s="27" customFormat="1" ht="24" x14ac:dyDescent="0.2">
      <c r="A224" s="51">
        <v>146</v>
      </c>
      <c r="B224" s="52" t="s">
        <v>1575</v>
      </c>
      <c r="C224" s="52" t="s">
        <v>390</v>
      </c>
      <c r="D224" s="193">
        <v>73.17</v>
      </c>
      <c r="E224" s="55" t="s">
        <v>58</v>
      </c>
      <c r="F224" s="56" t="s">
        <v>59</v>
      </c>
      <c r="G224" s="56" t="s">
        <v>64</v>
      </c>
      <c r="H224" s="56" t="s">
        <v>944</v>
      </c>
      <c r="I224" s="57" t="s">
        <v>65</v>
      </c>
    </row>
    <row r="225" spans="1:9" s="27" customFormat="1" ht="24" x14ac:dyDescent="0.2">
      <c r="A225" s="51">
        <v>147</v>
      </c>
      <c r="B225" s="52" t="s">
        <v>1576</v>
      </c>
      <c r="C225" s="52" t="s">
        <v>424</v>
      </c>
      <c r="D225" s="193">
        <v>382</v>
      </c>
      <c r="E225" s="55" t="s">
        <v>58</v>
      </c>
      <c r="F225" s="56" t="s">
        <v>59</v>
      </c>
      <c r="G225" s="56" t="s">
        <v>64</v>
      </c>
      <c r="H225" s="56" t="s">
        <v>944</v>
      </c>
      <c r="I225" s="57" t="s">
        <v>65</v>
      </c>
    </row>
    <row r="226" spans="1:9" s="27" customFormat="1" ht="24" x14ac:dyDescent="0.2">
      <c r="A226" s="51">
        <v>148</v>
      </c>
      <c r="B226" s="52" t="s">
        <v>1577</v>
      </c>
      <c r="C226" s="52" t="s">
        <v>492</v>
      </c>
      <c r="D226" s="193">
        <v>101.4</v>
      </c>
      <c r="E226" s="55" t="s">
        <v>58</v>
      </c>
      <c r="F226" s="56" t="s">
        <v>59</v>
      </c>
      <c r="G226" s="56" t="s">
        <v>64</v>
      </c>
      <c r="H226" s="56" t="s">
        <v>944</v>
      </c>
      <c r="I226" s="57" t="s">
        <v>65</v>
      </c>
    </row>
    <row r="227" spans="1:9" s="27" customFormat="1" ht="24" x14ac:dyDescent="0.2">
      <c r="A227" s="51">
        <v>149</v>
      </c>
      <c r="B227" s="52" t="s">
        <v>1578</v>
      </c>
      <c r="C227" s="52" t="s">
        <v>921</v>
      </c>
      <c r="D227" s="193">
        <v>811.14</v>
      </c>
      <c r="E227" s="55" t="s">
        <v>58</v>
      </c>
      <c r="F227" s="56" t="s">
        <v>59</v>
      </c>
      <c r="G227" s="56" t="s">
        <v>64</v>
      </c>
      <c r="H227" s="56" t="s">
        <v>944</v>
      </c>
      <c r="I227" s="57" t="s">
        <v>65</v>
      </c>
    </row>
    <row r="228" spans="1:9" s="27" customFormat="1" ht="24" x14ac:dyDescent="0.2">
      <c r="A228" s="51">
        <v>150</v>
      </c>
      <c r="B228" s="52" t="s">
        <v>486</v>
      </c>
      <c r="C228" s="52" t="s">
        <v>493</v>
      </c>
      <c r="D228" s="193">
        <v>700</v>
      </c>
      <c r="E228" s="55" t="s">
        <v>58</v>
      </c>
      <c r="F228" s="56" t="s">
        <v>59</v>
      </c>
      <c r="G228" s="56" t="s">
        <v>64</v>
      </c>
      <c r="H228" s="56" t="s">
        <v>944</v>
      </c>
      <c r="I228" s="57" t="s">
        <v>65</v>
      </c>
    </row>
    <row r="229" spans="1:9" s="27" customFormat="1" ht="24" x14ac:dyDescent="0.2">
      <c r="A229" s="51">
        <v>151</v>
      </c>
      <c r="B229" s="52" t="s">
        <v>1579</v>
      </c>
      <c r="C229" s="52" t="s">
        <v>1580</v>
      </c>
      <c r="D229" s="193">
        <v>9533</v>
      </c>
      <c r="E229" s="55" t="s">
        <v>58</v>
      </c>
      <c r="F229" s="56" t="s">
        <v>59</v>
      </c>
      <c r="G229" s="56" t="s">
        <v>64</v>
      </c>
      <c r="H229" s="56" t="s">
        <v>944</v>
      </c>
      <c r="I229" s="57" t="s">
        <v>65</v>
      </c>
    </row>
    <row r="230" spans="1:9" s="27" customFormat="1" ht="24" x14ac:dyDescent="0.2">
      <c r="A230" s="51">
        <v>152</v>
      </c>
      <c r="B230" s="52" t="s">
        <v>1581</v>
      </c>
      <c r="C230" s="52" t="s">
        <v>488</v>
      </c>
      <c r="D230" s="193">
        <v>3468</v>
      </c>
      <c r="E230" s="55" t="s">
        <v>58</v>
      </c>
      <c r="F230" s="56" t="s">
        <v>59</v>
      </c>
      <c r="G230" s="56" t="s">
        <v>64</v>
      </c>
      <c r="H230" s="56" t="s">
        <v>944</v>
      </c>
      <c r="I230" s="57" t="s">
        <v>65</v>
      </c>
    </row>
    <row r="231" spans="1:9" s="27" customFormat="1" ht="24" x14ac:dyDescent="0.2">
      <c r="A231" s="51">
        <v>153</v>
      </c>
      <c r="B231" s="52" t="s">
        <v>1582</v>
      </c>
      <c r="C231" s="52" t="s">
        <v>1484</v>
      </c>
      <c r="D231" s="193">
        <v>1872</v>
      </c>
      <c r="E231" s="55" t="s">
        <v>58</v>
      </c>
      <c r="F231" s="56" t="s">
        <v>59</v>
      </c>
      <c r="G231" s="56" t="s">
        <v>64</v>
      </c>
      <c r="H231" s="56" t="s">
        <v>944</v>
      </c>
      <c r="I231" s="57" t="s">
        <v>65</v>
      </c>
    </row>
    <row r="232" spans="1:9" s="27" customFormat="1" ht="24" x14ac:dyDescent="0.2">
      <c r="A232" s="51">
        <v>154</v>
      </c>
      <c r="B232" s="52" t="s">
        <v>1583</v>
      </c>
      <c r="C232" s="52" t="s">
        <v>410</v>
      </c>
      <c r="D232" s="193">
        <v>17249.5</v>
      </c>
      <c r="E232" s="55" t="s">
        <v>58</v>
      </c>
      <c r="F232" s="56" t="s">
        <v>59</v>
      </c>
      <c r="G232" s="56" t="s">
        <v>64</v>
      </c>
      <c r="H232" s="56" t="s">
        <v>944</v>
      </c>
      <c r="I232" s="57" t="s">
        <v>65</v>
      </c>
    </row>
    <row r="233" spans="1:9" s="27" customFormat="1" ht="24" x14ac:dyDescent="0.2">
      <c r="A233" s="51">
        <v>155</v>
      </c>
      <c r="B233" s="52" t="s">
        <v>1584</v>
      </c>
      <c r="C233" s="52" t="s">
        <v>1484</v>
      </c>
      <c r="D233" s="193">
        <v>43035</v>
      </c>
      <c r="E233" s="55" t="s">
        <v>58</v>
      </c>
      <c r="F233" s="56" t="s">
        <v>59</v>
      </c>
      <c r="G233" s="56" t="s">
        <v>64</v>
      </c>
      <c r="H233" s="56" t="s">
        <v>944</v>
      </c>
      <c r="I233" s="57" t="s">
        <v>65</v>
      </c>
    </row>
    <row r="234" spans="1:9" s="27" customFormat="1" ht="24" x14ac:dyDescent="0.2">
      <c r="A234" s="51">
        <v>156</v>
      </c>
      <c r="B234" s="52" t="s">
        <v>1585</v>
      </c>
      <c r="C234" s="52" t="s">
        <v>1526</v>
      </c>
      <c r="D234" s="193">
        <v>578</v>
      </c>
      <c r="E234" s="55" t="s">
        <v>58</v>
      </c>
      <c r="F234" s="56" t="s">
        <v>59</v>
      </c>
      <c r="G234" s="56" t="s">
        <v>64</v>
      </c>
      <c r="H234" s="56" t="s">
        <v>944</v>
      </c>
      <c r="I234" s="57" t="s">
        <v>65</v>
      </c>
    </row>
    <row r="235" spans="1:9" s="27" customFormat="1" ht="24" x14ac:dyDescent="0.2">
      <c r="A235" s="51">
        <v>157</v>
      </c>
      <c r="B235" s="52" t="s">
        <v>1586</v>
      </c>
      <c r="C235" s="52" t="s">
        <v>1587</v>
      </c>
      <c r="D235" s="193">
        <v>28420</v>
      </c>
      <c r="E235" s="55" t="s">
        <v>58</v>
      </c>
      <c r="F235" s="56" t="s">
        <v>59</v>
      </c>
      <c r="G235" s="56" t="s">
        <v>64</v>
      </c>
      <c r="H235" s="56" t="s">
        <v>944</v>
      </c>
      <c r="I235" s="57" t="s">
        <v>65</v>
      </c>
    </row>
    <row r="236" spans="1:9" s="27" customFormat="1" ht="24" x14ac:dyDescent="0.2">
      <c r="A236" s="51">
        <v>158</v>
      </c>
      <c r="B236" s="52" t="s">
        <v>1588</v>
      </c>
      <c r="C236" s="52" t="s">
        <v>492</v>
      </c>
      <c r="D236" s="193">
        <v>1650</v>
      </c>
      <c r="E236" s="55" t="s">
        <v>58</v>
      </c>
      <c r="F236" s="56" t="s">
        <v>59</v>
      </c>
      <c r="G236" s="56" t="s">
        <v>64</v>
      </c>
      <c r="H236" s="56" t="s">
        <v>944</v>
      </c>
      <c r="I236" s="57" t="s">
        <v>65</v>
      </c>
    </row>
    <row r="237" spans="1:9" s="27" customFormat="1" ht="24" x14ac:dyDescent="0.2">
      <c r="A237" s="51">
        <v>159</v>
      </c>
      <c r="B237" s="52" t="s">
        <v>1589</v>
      </c>
      <c r="C237" s="52" t="s">
        <v>1572</v>
      </c>
      <c r="D237" s="193">
        <v>291</v>
      </c>
      <c r="E237" s="55" t="s">
        <v>58</v>
      </c>
      <c r="F237" s="56" t="s">
        <v>59</v>
      </c>
      <c r="G237" s="56" t="s">
        <v>64</v>
      </c>
      <c r="H237" s="56" t="s">
        <v>944</v>
      </c>
      <c r="I237" s="57" t="s">
        <v>65</v>
      </c>
    </row>
    <row r="238" spans="1:9" s="27" customFormat="1" ht="24" x14ac:dyDescent="0.2">
      <c r="A238" s="51">
        <v>160</v>
      </c>
      <c r="B238" s="52" t="s">
        <v>1590</v>
      </c>
      <c r="C238" s="52" t="s">
        <v>1495</v>
      </c>
      <c r="D238" s="193">
        <v>1351.5</v>
      </c>
      <c r="E238" s="55" t="s">
        <v>58</v>
      </c>
      <c r="F238" s="56" t="s">
        <v>59</v>
      </c>
      <c r="G238" s="56" t="s">
        <v>64</v>
      </c>
      <c r="H238" s="56" t="s">
        <v>944</v>
      </c>
      <c r="I238" s="57" t="s">
        <v>65</v>
      </c>
    </row>
    <row r="239" spans="1:9" s="27" customFormat="1" ht="24" x14ac:dyDescent="0.2">
      <c r="A239" s="51">
        <v>161</v>
      </c>
      <c r="B239" s="52" t="s">
        <v>1591</v>
      </c>
      <c r="C239" s="52" t="s">
        <v>1499</v>
      </c>
      <c r="D239" s="193">
        <v>110</v>
      </c>
      <c r="E239" s="55" t="s">
        <v>58</v>
      </c>
      <c r="F239" s="56" t="s">
        <v>59</v>
      </c>
      <c r="G239" s="56" t="s">
        <v>64</v>
      </c>
      <c r="H239" s="56" t="s">
        <v>944</v>
      </c>
      <c r="I239" s="57" t="s">
        <v>65</v>
      </c>
    </row>
    <row r="240" spans="1:9" s="27" customFormat="1" ht="24" x14ac:dyDescent="0.2">
      <c r="A240" s="51">
        <v>162</v>
      </c>
      <c r="B240" s="52" t="s">
        <v>1592</v>
      </c>
      <c r="C240" s="52" t="s">
        <v>1499</v>
      </c>
      <c r="D240" s="193">
        <v>7.5</v>
      </c>
      <c r="E240" s="55" t="s">
        <v>58</v>
      </c>
      <c r="F240" s="56" t="s">
        <v>59</v>
      </c>
      <c r="G240" s="56" t="s">
        <v>64</v>
      </c>
      <c r="H240" s="56" t="s">
        <v>944</v>
      </c>
      <c r="I240" s="57" t="s">
        <v>65</v>
      </c>
    </row>
    <row r="241" spans="1:9" s="27" customFormat="1" ht="24" x14ac:dyDescent="0.2">
      <c r="A241" s="51">
        <v>163</v>
      </c>
      <c r="B241" s="52" t="s">
        <v>1593</v>
      </c>
      <c r="C241" s="52" t="s">
        <v>1495</v>
      </c>
      <c r="D241" s="193">
        <v>364.4</v>
      </c>
      <c r="E241" s="55" t="s">
        <v>58</v>
      </c>
      <c r="F241" s="56" t="s">
        <v>59</v>
      </c>
      <c r="G241" s="56" t="s">
        <v>64</v>
      </c>
      <c r="H241" s="56" t="s">
        <v>944</v>
      </c>
      <c r="I241" s="57" t="s">
        <v>65</v>
      </c>
    </row>
    <row r="242" spans="1:9" s="27" customFormat="1" ht="24" x14ac:dyDescent="0.2">
      <c r="A242" s="51">
        <v>164</v>
      </c>
      <c r="B242" s="52" t="s">
        <v>1594</v>
      </c>
      <c r="C242" s="52" t="s">
        <v>424</v>
      </c>
      <c r="D242" s="193">
        <v>170</v>
      </c>
      <c r="E242" s="55" t="s">
        <v>58</v>
      </c>
      <c r="F242" s="56" t="s">
        <v>59</v>
      </c>
      <c r="G242" s="56" t="s">
        <v>64</v>
      </c>
      <c r="H242" s="56" t="s">
        <v>944</v>
      </c>
      <c r="I242" s="57" t="s">
        <v>65</v>
      </c>
    </row>
    <row r="243" spans="1:9" s="27" customFormat="1" ht="24" x14ac:dyDescent="0.2">
      <c r="A243" s="51">
        <v>165</v>
      </c>
      <c r="B243" s="52" t="s">
        <v>1595</v>
      </c>
      <c r="C243" s="52" t="s">
        <v>1596</v>
      </c>
      <c r="D243" s="193">
        <v>369</v>
      </c>
      <c r="E243" s="55" t="s">
        <v>58</v>
      </c>
      <c r="F243" s="56" t="s">
        <v>59</v>
      </c>
      <c r="G243" s="56" t="s">
        <v>64</v>
      </c>
      <c r="H243" s="56" t="s">
        <v>944</v>
      </c>
      <c r="I243" s="57" t="s">
        <v>65</v>
      </c>
    </row>
    <row r="244" spans="1:9" s="27" customFormat="1" ht="24" x14ac:dyDescent="0.2">
      <c r="A244" s="51">
        <v>166</v>
      </c>
      <c r="B244" s="52" t="s">
        <v>1597</v>
      </c>
      <c r="C244" s="52" t="s">
        <v>494</v>
      </c>
      <c r="D244" s="193">
        <v>1000</v>
      </c>
      <c r="E244" s="55" t="s">
        <v>58</v>
      </c>
      <c r="F244" s="56" t="s">
        <v>59</v>
      </c>
      <c r="G244" s="56" t="s">
        <v>64</v>
      </c>
      <c r="H244" s="56" t="s">
        <v>944</v>
      </c>
      <c r="I244" s="57" t="s">
        <v>65</v>
      </c>
    </row>
    <row r="245" spans="1:9" s="27" customFormat="1" ht="24" x14ac:dyDescent="0.2">
      <c r="A245" s="51">
        <v>167</v>
      </c>
      <c r="B245" s="52" t="s">
        <v>1598</v>
      </c>
      <c r="C245" s="52" t="s">
        <v>924</v>
      </c>
      <c r="D245" s="193">
        <v>680</v>
      </c>
      <c r="E245" s="55" t="s">
        <v>58</v>
      </c>
      <c r="F245" s="56" t="s">
        <v>59</v>
      </c>
      <c r="G245" s="56" t="s">
        <v>64</v>
      </c>
      <c r="H245" s="56" t="s">
        <v>944</v>
      </c>
      <c r="I245" s="57" t="s">
        <v>65</v>
      </c>
    </row>
    <row r="246" spans="1:9" s="27" customFormat="1" ht="24" x14ac:dyDescent="0.2">
      <c r="A246" s="51">
        <v>168</v>
      </c>
      <c r="B246" s="52" t="s">
        <v>1599</v>
      </c>
      <c r="C246" s="52" t="s">
        <v>490</v>
      </c>
      <c r="D246" s="193">
        <v>137.19999999999999</v>
      </c>
      <c r="E246" s="55" t="s">
        <v>58</v>
      </c>
      <c r="F246" s="56" t="s">
        <v>59</v>
      </c>
      <c r="G246" s="56" t="s">
        <v>64</v>
      </c>
      <c r="H246" s="56" t="s">
        <v>944</v>
      </c>
      <c r="I246" s="57" t="s">
        <v>65</v>
      </c>
    </row>
    <row r="247" spans="1:9" s="27" customFormat="1" ht="24" x14ac:dyDescent="0.2">
      <c r="A247" s="51">
        <v>169</v>
      </c>
      <c r="B247" s="52" t="s">
        <v>1600</v>
      </c>
      <c r="C247" s="52" t="s">
        <v>1601</v>
      </c>
      <c r="D247" s="193">
        <v>3621</v>
      </c>
      <c r="E247" s="55" t="s">
        <v>58</v>
      </c>
      <c r="F247" s="56" t="s">
        <v>59</v>
      </c>
      <c r="G247" s="56" t="s">
        <v>64</v>
      </c>
      <c r="H247" s="56" t="s">
        <v>944</v>
      </c>
      <c r="I247" s="57" t="s">
        <v>65</v>
      </c>
    </row>
    <row r="248" spans="1:9" s="27" customFormat="1" ht="24" x14ac:dyDescent="0.2">
      <c r="A248" s="51">
        <v>170</v>
      </c>
      <c r="B248" s="52" t="s">
        <v>1602</v>
      </c>
      <c r="C248" s="52" t="s">
        <v>390</v>
      </c>
      <c r="D248" s="193">
        <v>3036</v>
      </c>
      <c r="E248" s="55" t="s">
        <v>58</v>
      </c>
      <c r="F248" s="56" t="s">
        <v>59</v>
      </c>
      <c r="G248" s="56" t="s">
        <v>64</v>
      </c>
      <c r="H248" s="56" t="s">
        <v>944</v>
      </c>
      <c r="I248" s="57" t="s">
        <v>65</v>
      </c>
    </row>
    <row r="249" spans="1:9" s="27" customFormat="1" ht="24" x14ac:dyDescent="0.2">
      <c r="A249" s="51">
        <v>171</v>
      </c>
      <c r="B249" s="52" t="s">
        <v>1603</v>
      </c>
      <c r="C249" s="52" t="s">
        <v>490</v>
      </c>
      <c r="D249" s="193">
        <v>6</v>
      </c>
      <c r="E249" s="55" t="s">
        <v>58</v>
      </c>
      <c r="F249" s="56" t="s">
        <v>59</v>
      </c>
      <c r="G249" s="56" t="s">
        <v>64</v>
      </c>
      <c r="H249" s="56" t="s">
        <v>944</v>
      </c>
      <c r="I249" s="57" t="s">
        <v>65</v>
      </c>
    </row>
    <row r="250" spans="1:9" s="27" customFormat="1" ht="24" x14ac:dyDescent="0.2">
      <c r="A250" s="51">
        <v>172</v>
      </c>
      <c r="B250" s="52" t="s">
        <v>1604</v>
      </c>
      <c r="C250" s="52" t="s">
        <v>490</v>
      </c>
      <c r="D250" s="193">
        <v>6</v>
      </c>
      <c r="E250" s="55" t="s">
        <v>58</v>
      </c>
      <c r="F250" s="56" t="s">
        <v>59</v>
      </c>
      <c r="G250" s="56" t="s">
        <v>64</v>
      </c>
      <c r="H250" s="56" t="s">
        <v>944</v>
      </c>
      <c r="I250" s="57" t="s">
        <v>65</v>
      </c>
    </row>
    <row r="251" spans="1:9" s="27" customFormat="1" ht="24" x14ac:dyDescent="0.2">
      <c r="A251" s="51">
        <v>173</v>
      </c>
      <c r="B251" s="52" t="s">
        <v>1474</v>
      </c>
      <c r="C251" s="52" t="s">
        <v>1475</v>
      </c>
      <c r="D251" s="193">
        <v>173410</v>
      </c>
      <c r="E251" s="55" t="s">
        <v>58</v>
      </c>
      <c r="F251" s="56" t="s">
        <v>59</v>
      </c>
      <c r="G251" s="56" t="s">
        <v>64</v>
      </c>
      <c r="H251" s="56" t="s">
        <v>944</v>
      </c>
      <c r="I251" s="57" t="s">
        <v>65</v>
      </c>
    </row>
    <row r="252" spans="1:9" s="27" customFormat="1" ht="12.75" x14ac:dyDescent="0.2">
      <c r="A252" s="228" t="s">
        <v>193</v>
      </c>
      <c r="B252" s="228"/>
      <c r="C252" s="228"/>
      <c r="D252" s="58">
        <f>SUM(D147:D251)*1.11</f>
        <v>980027.4138000001</v>
      </c>
      <c r="E252" s="55"/>
      <c r="F252" s="56"/>
      <c r="G252" s="56"/>
      <c r="H252" s="56"/>
      <c r="I252" s="57"/>
    </row>
    <row r="253" spans="1:9" s="163" customFormat="1" ht="24" x14ac:dyDescent="0.2">
      <c r="A253" s="51">
        <v>174</v>
      </c>
      <c r="B253" s="52" t="s">
        <v>1605</v>
      </c>
      <c r="C253" s="52" t="s">
        <v>1606</v>
      </c>
      <c r="D253" s="134">
        <v>3456</v>
      </c>
      <c r="E253" s="55" t="s">
        <v>58</v>
      </c>
      <c r="F253" s="57" t="s">
        <v>59</v>
      </c>
      <c r="G253" s="57" t="s">
        <v>64</v>
      </c>
      <c r="H253" s="57" t="s">
        <v>62</v>
      </c>
      <c r="I253" s="57" t="s">
        <v>65</v>
      </c>
    </row>
    <row r="254" spans="1:9" s="163" customFormat="1" ht="24" x14ac:dyDescent="0.2">
      <c r="A254" s="51">
        <v>175</v>
      </c>
      <c r="B254" s="52" t="s">
        <v>1607</v>
      </c>
      <c r="C254" s="52" t="s">
        <v>1608</v>
      </c>
      <c r="D254" s="134">
        <v>40500</v>
      </c>
      <c r="E254" s="55" t="s">
        <v>58</v>
      </c>
      <c r="F254" s="57" t="s">
        <v>59</v>
      </c>
      <c r="G254" s="57" t="s">
        <v>64</v>
      </c>
      <c r="H254" s="57" t="s">
        <v>62</v>
      </c>
      <c r="I254" s="57" t="s">
        <v>65</v>
      </c>
    </row>
    <row r="255" spans="1:9" s="163" customFormat="1" ht="24" x14ac:dyDescent="0.2">
      <c r="A255" s="51">
        <v>176</v>
      </c>
      <c r="B255" s="52" t="s">
        <v>1609</v>
      </c>
      <c r="C255" s="52" t="s">
        <v>1610</v>
      </c>
      <c r="D255" s="134">
        <v>3300</v>
      </c>
      <c r="E255" s="55" t="s">
        <v>58</v>
      </c>
      <c r="F255" s="57" t="s">
        <v>59</v>
      </c>
      <c r="G255" s="57" t="s">
        <v>64</v>
      </c>
      <c r="H255" s="57" t="s">
        <v>62</v>
      </c>
      <c r="I255" s="57" t="s">
        <v>65</v>
      </c>
    </row>
    <row r="256" spans="1:9" s="163" customFormat="1" ht="24" x14ac:dyDescent="0.2">
      <c r="A256" s="51">
        <v>177</v>
      </c>
      <c r="B256" s="52" t="s">
        <v>1611</v>
      </c>
      <c r="C256" s="52" t="s">
        <v>1612</v>
      </c>
      <c r="D256" s="134">
        <v>266</v>
      </c>
      <c r="E256" s="55" t="s">
        <v>58</v>
      </c>
      <c r="F256" s="57" t="s">
        <v>59</v>
      </c>
      <c r="G256" s="57" t="s">
        <v>64</v>
      </c>
      <c r="H256" s="57" t="s">
        <v>62</v>
      </c>
      <c r="I256" s="57" t="s">
        <v>65</v>
      </c>
    </row>
    <row r="257" spans="1:9" s="163" customFormat="1" ht="24" x14ac:dyDescent="0.2">
      <c r="A257" s="51">
        <v>178</v>
      </c>
      <c r="B257" s="52" t="s">
        <v>1613</v>
      </c>
      <c r="C257" s="52" t="s">
        <v>1614</v>
      </c>
      <c r="D257" s="134">
        <v>6415.2</v>
      </c>
      <c r="E257" s="55" t="s">
        <v>58</v>
      </c>
      <c r="F257" s="57" t="s">
        <v>59</v>
      </c>
      <c r="G257" s="57" t="s">
        <v>64</v>
      </c>
      <c r="H257" s="57" t="s">
        <v>62</v>
      </c>
      <c r="I257" s="57" t="s">
        <v>65</v>
      </c>
    </row>
    <row r="258" spans="1:9" s="163" customFormat="1" ht="24" x14ac:dyDescent="0.2">
      <c r="A258" s="51">
        <v>179</v>
      </c>
      <c r="B258" s="52" t="s">
        <v>1615</v>
      </c>
      <c r="C258" s="52" t="s">
        <v>1616</v>
      </c>
      <c r="D258" s="134">
        <v>1881</v>
      </c>
      <c r="E258" s="55" t="s">
        <v>58</v>
      </c>
      <c r="F258" s="57" t="s">
        <v>59</v>
      </c>
      <c r="G258" s="57" t="s">
        <v>64</v>
      </c>
      <c r="H258" s="57" t="s">
        <v>62</v>
      </c>
      <c r="I258" s="57" t="s">
        <v>65</v>
      </c>
    </row>
    <row r="259" spans="1:9" s="163" customFormat="1" ht="24" x14ac:dyDescent="0.2">
      <c r="A259" s="51">
        <v>180</v>
      </c>
      <c r="B259" s="52" t="s">
        <v>1617</v>
      </c>
      <c r="C259" s="52" t="s">
        <v>1618</v>
      </c>
      <c r="D259" s="134">
        <v>864</v>
      </c>
      <c r="E259" s="55" t="s">
        <v>58</v>
      </c>
      <c r="F259" s="57" t="s">
        <v>59</v>
      </c>
      <c r="G259" s="57" t="s">
        <v>64</v>
      </c>
      <c r="H259" s="57" t="s">
        <v>62</v>
      </c>
      <c r="I259" s="57" t="s">
        <v>65</v>
      </c>
    </row>
    <row r="260" spans="1:9" s="163" customFormat="1" ht="24" x14ac:dyDescent="0.2">
      <c r="A260" s="51">
        <v>181</v>
      </c>
      <c r="B260" s="52" t="s">
        <v>1619</v>
      </c>
      <c r="C260" s="52" t="s">
        <v>479</v>
      </c>
      <c r="D260" s="134">
        <v>556</v>
      </c>
      <c r="E260" s="55" t="s">
        <v>58</v>
      </c>
      <c r="F260" s="57" t="s">
        <v>59</v>
      </c>
      <c r="G260" s="57" t="s">
        <v>64</v>
      </c>
      <c r="H260" s="57" t="s">
        <v>62</v>
      </c>
      <c r="I260" s="57" t="s">
        <v>65</v>
      </c>
    </row>
    <row r="261" spans="1:9" s="163" customFormat="1" ht="24" x14ac:dyDescent="0.2">
      <c r="A261" s="51">
        <v>182</v>
      </c>
      <c r="B261" s="52" t="s">
        <v>1620</v>
      </c>
      <c r="C261" s="52" t="s">
        <v>479</v>
      </c>
      <c r="D261" s="134">
        <v>1380</v>
      </c>
      <c r="E261" s="55" t="s">
        <v>58</v>
      </c>
      <c r="F261" s="57" t="s">
        <v>59</v>
      </c>
      <c r="G261" s="57" t="s">
        <v>64</v>
      </c>
      <c r="H261" s="57" t="s">
        <v>62</v>
      </c>
      <c r="I261" s="57" t="s">
        <v>65</v>
      </c>
    </row>
    <row r="262" spans="1:9" s="163" customFormat="1" ht="24" x14ac:dyDescent="0.2">
      <c r="A262" s="51">
        <v>183</v>
      </c>
      <c r="B262" s="52" t="s">
        <v>1621</v>
      </c>
      <c r="C262" s="52" t="s">
        <v>236</v>
      </c>
      <c r="D262" s="134">
        <v>1224</v>
      </c>
      <c r="E262" s="55" t="s">
        <v>58</v>
      </c>
      <c r="F262" s="57" t="s">
        <v>59</v>
      </c>
      <c r="G262" s="57" t="s">
        <v>64</v>
      </c>
      <c r="H262" s="57" t="s">
        <v>62</v>
      </c>
      <c r="I262" s="57" t="s">
        <v>65</v>
      </c>
    </row>
    <row r="263" spans="1:9" s="163" customFormat="1" ht="24" x14ac:dyDescent="0.2">
      <c r="A263" s="51">
        <v>184</v>
      </c>
      <c r="B263" s="52" t="s">
        <v>1622</v>
      </c>
      <c r="C263" s="52" t="s">
        <v>495</v>
      </c>
      <c r="D263" s="134">
        <v>160000</v>
      </c>
      <c r="E263" s="55" t="s">
        <v>58</v>
      </c>
      <c r="F263" s="57" t="s">
        <v>59</v>
      </c>
      <c r="G263" s="57" t="s">
        <v>64</v>
      </c>
      <c r="H263" s="57" t="s">
        <v>62</v>
      </c>
      <c r="I263" s="57" t="s">
        <v>65</v>
      </c>
    </row>
    <row r="264" spans="1:9" s="163" customFormat="1" ht="24" x14ac:dyDescent="0.2">
      <c r="A264" s="51">
        <v>185</v>
      </c>
      <c r="B264" s="52" t="s">
        <v>1623</v>
      </c>
      <c r="C264" s="52" t="s">
        <v>495</v>
      </c>
      <c r="D264" s="134">
        <v>4880</v>
      </c>
      <c r="E264" s="55" t="s">
        <v>58</v>
      </c>
      <c r="F264" s="57" t="s">
        <v>59</v>
      </c>
      <c r="G264" s="57" t="s">
        <v>64</v>
      </c>
      <c r="H264" s="57" t="s">
        <v>62</v>
      </c>
      <c r="I264" s="57" t="s">
        <v>65</v>
      </c>
    </row>
    <row r="265" spans="1:9" s="163" customFormat="1" ht="24" x14ac:dyDescent="0.2">
      <c r="A265" s="51">
        <v>186</v>
      </c>
      <c r="B265" s="52" t="s">
        <v>1624</v>
      </c>
      <c r="C265" s="52" t="s">
        <v>1625</v>
      </c>
      <c r="D265" s="134">
        <v>444</v>
      </c>
      <c r="E265" s="55" t="s">
        <v>58</v>
      </c>
      <c r="F265" s="57" t="s">
        <v>59</v>
      </c>
      <c r="G265" s="57" t="s">
        <v>64</v>
      </c>
      <c r="H265" s="57" t="s">
        <v>62</v>
      </c>
      <c r="I265" s="57" t="s">
        <v>65</v>
      </c>
    </row>
    <row r="266" spans="1:9" s="163" customFormat="1" ht="24" x14ac:dyDescent="0.2">
      <c r="A266" s="51">
        <v>187</v>
      </c>
      <c r="B266" s="52" t="s">
        <v>1626</v>
      </c>
      <c r="C266" s="52" t="s">
        <v>1627</v>
      </c>
      <c r="D266" s="134">
        <v>2440</v>
      </c>
      <c r="E266" s="55" t="s">
        <v>58</v>
      </c>
      <c r="F266" s="57" t="s">
        <v>59</v>
      </c>
      <c r="G266" s="57" t="s">
        <v>64</v>
      </c>
      <c r="H266" s="57" t="s">
        <v>62</v>
      </c>
      <c r="I266" s="57" t="s">
        <v>65</v>
      </c>
    </row>
    <row r="267" spans="1:9" s="163" customFormat="1" ht="24" x14ac:dyDescent="0.2">
      <c r="A267" s="51">
        <v>188</v>
      </c>
      <c r="B267" s="52" t="s">
        <v>1628</v>
      </c>
      <c r="C267" s="52" t="s">
        <v>1629</v>
      </c>
      <c r="D267" s="134">
        <v>3834.2</v>
      </c>
      <c r="E267" s="55" t="s">
        <v>58</v>
      </c>
      <c r="F267" s="57" t="s">
        <v>59</v>
      </c>
      <c r="G267" s="57" t="s">
        <v>64</v>
      </c>
      <c r="H267" s="57" t="s">
        <v>62</v>
      </c>
      <c r="I267" s="57" t="s">
        <v>65</v>
      </c>
    </row>
    <row r="268" spans="1:9" s="163" customFormat="1" ht="24" x14ac:dyDescent="0.2">
      <c r="A268" s="51">
        <v>189</v>
      </c>
      <c r="B268" s="52" t="s">
        <v>1630</v>
      </c>
      <c r="C268" s="52" t="s">
        <v>1546</v>
      </c>
      <c r="D268" s="134">
        <v>680</v>
      </c>
      <c r="E268" s="55" t="s">
        <v>58</v>
      </c>
      <c r="F268" s="57" t="s">
        <v>59</v>
      </c>
      <c r="G268" s="57" t="s">
        <v>64</v>
      </c>
      <c r="H268" s="57" t="s">
        <v>62</v>
      </c>
      <c r="I268" s="57" t="s">
        <v>65</v>
      </c>
    </row>
    <row r="269" spans="1:9" s="163" customFormat="1" ht="24" x14ac:dyDescent="0.2">
      <c r="A269" s="51">
        <v>190</v>
      </c>
      <c r="B269" s="52" t="s">
        <v>932</v>
      </c>
      <c r="C269" s="52" t="s">
        <v>470</v>
      </c>
      <c r="D269" s="134">
        <v>28160</v>
      </c>
      <c r="E269" s="55" t="s">
        <v>58</v>
      </c>
      <c r="F269" s="57" t="s">
        <v>59</v>
      </c>
      <c r="G269" s="57" t="s">
        <v>64</v>
      </c>
      <c r="H269" s="57" t="s">
        <v>62</v>
      </c>
      <c r="I269" s="57" t="s">
        <v>65</v>
      </c>
    </row>
    <row r="270" spans="1:9" s="163" customFormat="1" ht="24" x14ac:dyDescent="0.2">
      <c r="A270" s="51">
        <v>191</v>
      </c>
      <c r="B270" s="52" t="s">
        <v>1631</v>
      </c>
      <c r="C270" s="52" t="s">
        <v>1632</v>
      </c>
      <c r="D270" s="134">
        <v>777</v>
      </c>
      <c r="E270" s="55" t="s">
        <v>58</v>
      </c>
      <c r="F270" s="57" t="s">
        <v>59</v>
      </c>
      <c r="G270" s="57" t="s">
        <v>64</v>
      </c>
      <c r="H270" s="57" t="s">
        <v>62</v>
      </c>
      <c r="I270" s="57" t="s">
        <v>65</v>
      </c>
    </row>
    <row r="271" spans="1:9" s="163" customFormat="1" ht="24" x14ac:dyDescent="0.2">
      <c r="A271" s="51">
        <v>192</v>
      </c>
      <c r="B271" s="52" t="s">
        <v>1633</v>
      </c>
      <c r="C271" s="52" t="s">
        <v>470</v>
      </c>
      <c r="D271" s="134">
        <v>14910</v>
      </c>
      <c r="E271" s="55" t="s">
        <v>58</v>
      </c>
      <c r="F271" s="57" t="s">
        <v>59</v>
      </c>
      <c r="G271" s="57" t="s">
        <v>64</v>
      </c>
      <c r="H271" s="57" t="s">
        <v>62</v>
      </c>
      <c r="I271" s="57" t="s">
        <v>65</v>
      </c>
    </row>
    <row r="272" spans="1:9" s="163" customFormat="1" ht="24" x14ac:dyDescent="0.2">
      <c r="A272" s="51">
        <v>193</v>
      </c>
      <c r="B272" s="52" t="s">
        <v>1634</v>
      </c>
      <c r="C272" s="52" t="s">
        <v>1635</v>
      </c>
      <c r="D272" s="134">
        <v>8029.2</v>
      </c>
      <c r="E272" s="55" t="s">
        <v>58</v>
      </c>
      <c r="F272" s="57" t="s">
        <v>59</v>
      </c>
      <c r="G272" s="57" t="s">
        <v>64</v>
      </c>
      <c r="H272" s="57" t="s">
        <v>62</v>
      </c>
      <c r="I272" s="57" t="s">
        <v>65</v>
      </c>
    </row>
    <row r="273" spans="1:9" s="163" customFormat="1" ht="24" x14ac:dyDescent="0.2">
      <c r="A273" s="51">
        <v>194</v>
      </c>
      <c r="B273" s="52" t="s">
        <v>1636</v>
      </c>
      <c r="C273" s="52" t="s">
        <v>123</v>
      </c>
      <c r="D273" s="134">
        <v>350</v>
      </c>
      <c r="E273" s="55" t="s">
        <v>58</v>
      </c>
      <c r="F273" s="57" t="s">
        <v>59</v>
      </c>
      <c r="G273" s="57" t="s">
        <v>64</v>
      </c>
      <c r="H273" s="57" t="s">
        <v>62</v>
      </c>
      <c r="I273" s="57" t="s">
        <v>65</v>
      </c>
    </row>
    <row r="274" spans="1:9" s="163" customFormat="1" ht="24" x14ac:dyDescent="0.2">
      <c r="A274" s="51">
        <v>195</v>
      </c>
      <c r="B274" s="52" t="s">
        <v>1637</v>
      </c>
      <c r="C274" s="52" t="s">
        <v>258</v>
      </c>
      <c r="D274" s="134">
        <v>20700</v>
      </c>
      <c r="E274" s="55" t="s">
        <v>58</v>
      </c>
      <c r="F274" s="57" t="s">
        <v>59</v>
      </c>
      <c r="G274" s="57" t="s">
        <v>64</v>
      </c>
      <c r="H274" s="57" t="s">
        <v>62</v>
      </c>
      <c r="I274" s="57" t="s">
        <v>65</v>
      </c>
    </row>
    <row r="275" spans="1:9" s="163" customFormat="1" ht="24" x14ac:dyDescent="0.2">
      <c r="A275" s="51">
        <v>196</v>
      </c>
      <c r="B275" s="52" t="s">
        <v>1638</v>
      </c>
      <c r="C275" s="52" t="s">
        <v>480</v>
      </c>
      <c r="D275" s="134">
        <v>7700</v>
      </c>
      <c r="E275" s="55" t="s">
        <v>58</v>
      </c>
      <c r="F275" s="57" t="s">
        <v>59</v>
      </c>
      <c r="G275" s="57" t="s">
        <v>64</v>
      </c>
      <c r="H275" s="57" t="s">
        <v>62</v>
      </c>
      <c r="I275" s="57" t="s">
        <v>65</v>
      </c>
    </row>
    <row r="276" spans="1:9" s="163" customFormat="1" ht="24" x14ac:dyDescent="0.2">
      <c r="A276" s="51">
        <v>197</v>
      </c>
      <c r="B276" s="52" t="s">
        <v>1639</v>
      </c>
      <c r="C276" s="52" t="s">
        <v>236</v>
      </c>
      <c r="D276" s="134">
        <v>8640</v>
      </c>
      <c r="E276" s="55" t="s">
        <v>58</v>
      </c>
      <c r="F276" s="57" t="s">
        <v>59</v>
      </c>
      <c r="G276" s="57" t="s">
        <v>64</v>
      </c>
      <c r="H276" s="57" t="s">
        <v>62</v>
      </c>
      <c r="I276" s="57" t="s">
        <v>65</v>
      </c>
    </row>
    <row r="277" spans="1:9" s="163" customFormat="1" ht="24" x14ac:dyDescent="0.2">
      <c r="A277" s="51">
        <v>198</v>
      </c>
      <c r="B277" s="52" t="s">
        <v>1640</v>
      </c>
      <c r="C277" s="52" t="s">
        <v>1641</v>
      </c>
      <c r="D277" s="134">
        <v>65</v>
      </c>
      <c r="E277" s="55" t="s">
        <v>58</v>
      </c>
      <c r="F277" s="57" t="s">
        <v>59</v>
      </c>
      <c r="G277" s="57" t="s">
        <v>64</v>
      </c>
      <c r="H277" s="57" t="s">
        <v>62</v>
      </c>
      <c r="I277" s="57" t="s">
        <v>65</v>
      </c>
    </row>
    <row r="278" spans="1:9" s="163" customFormat="1" ht="24" x14ac:dyDescent="0.2">
      <c r="A278" s="51">
        <v>199</v>
      </c>
      <c r="B278" s="52" t="s">
        <v>1642</v>
      </c>
      <c r="C278" s="52" t="s">
        <v>1612</v>
      </c>
      <c r="D278" s="134">
        <v>4329</v>
      </c>
      <c r="E278" s="55" t="s">
        <v>58</v>
      </c>
      <c r="F278" s="57" t="s">
        <v>59</v>
      </c>
      <c r="G278" s="57" t="s">
        <v>64</v>
      </c>
      <c r="H278" s="57" t="s">
        <v>62</v>
      </c>
      <c r="I278" s="57" t="s">
        <v>65</v>
      </c>
    </row>
    <row r="279" spans="1:9" s="163" customFormat="1" ht="24" x14ac:dyDescent="0.2">
      <c r="A279" s="51">
        <v>200</v>
      </c>
      <c r="B279" s="52" t="s">
        <v>1643</v>
      </c>
      <c r="C279" s="52" t="s">
        <v>1644</v>
      </c>
      <c r="D279" s="134">
        <v>5075</v>
      </c>
      <c r="E279" s="55" t="s">
        <v>58</v>
      </c>
      <c r="F279" s="57" t="s">
        <v>59</v>
      </c>
      <c r="G279" s="57" t="s">
        <v>64</v>
      </c>
      <c r="H279" s="57" t="s">
        <v>62</v>
      </c>
      <c r="I279" s="57" t="s">
        <v>65</v>
      </c>
    </row>
    <row r="280" spans="1:9" s="163" customFormat="1" ht="24" x14ac:dyDescent="0.2">
      <c r="A280" s="51">
        <v>201</v>
      </c>
      <c r="B280" s="52" t="s">
        <v>680</v>
      </c>
      <c r="C280" s="52" t="s">
        <v>496</v>
      </c>
      <c r="D280" s="134">
        <v>3741</v>
      </c>
      <c r="E280" s="55" t="s">
        <v>58</v>
      </c>
      <c r="F280" s="57" t="s">
        <v>59</v>
      </c>
      <c r="G280" s="57" t="s">
        <v>64</v>
      </c>
      <c r="H280" s="57" t="s">
        <v>62</v>
      </c>
      <c r="I280" s="57" t="s">
        <v>65</v>
      </c>
    </row>
    <row r="281" spans="1:9" s="163" customFormat="1" ht="24" x14ac:dyDescent="0.2">
      <c r="A281" s="51">
        <v>202</v>
      </c>
      <c r="B281" s="52" t="s">
        <v>1645</v>
      </c>
      <c r="C281" s="52" t="s">
        <v>1635</v>
      </c>
      <c r="D281" s="134">
        <f>2*1350</f>
        <v>2700</v>
      </c>
      <c r="E281" s="55" t="s">
        <v>58</v>
      </c>
      <c r="F281" s="57" t="s">
        <v>59</v>
      </c>
      <c r="G281" s="57" t="s">
        <v>64</v>
      </c>
      <c r="H281" s="57" t="s">
        <v>62</v>
      </c>
      <c r="I281" s="57" t="s">
        <v>65</v>
      </c>
    </row>
    <row r="282" spans="1:9" s="163" customFormat="1" ht="24" x14ac:dyDescent="0.2">
      <c r="A282" s="51">
        <v>203</v>
      </c>
      <c r="B282" s="52" t="s">
        <v>1646</v>
      </c>
      <c r="C282" s="52" t="s">
        <v>1647</v>
      </c>
      <c r="D282" s="134">
        <v>17250</v>
      </c>
      <c r="E282" s="55" t="s">
        <v>58</v>
      </c>
      <c r="F282" s="57" t="s">
        <v>59</v>
      </c>
      <c r="G282" s="57" t="s">
        <v>64</v>
      </c>
      <c r="H282" s="57" t="s">
        <v>62</v>
      </c>
      <c r="I282" s="57" t="s">
        <v>65</v>
      </c>
    </row>
    <row r="283" spans="1:9" s="163" customFormat="1" ht="24" x14ac:dyDescent="0.2">
      <c r="A283" s="51">
        <v>204</v>
      </c>
      <c r="B283" s="52" t="s">
        <v>1648</v>
      </c>
      <c r="C283" s="52" t="s">
        <v>1649</v>
      </c>
      <c r="D283" s="134">
        <v>1600</v>
      </c>
      <c r="E283" s="55" t="s">
        <v>58</v>
      </c>
      <c r="F283" s="57" t="s">
        <v>59</v>
      </c>
      <c r="G283" s="57" t="s">
        <v>64</v>
      </c>
      <c r="H283" s="57" t="s">
        <v>62</v>
      </c>
      <c r="I283" s="57" t="s">
        <v>65</v>
      </c>
    </row>
    <row r="284" spans="1:9" s="163" customFormat="1" ht="24" x14ac:dyDescent="0.2">
      <c r="A284" s="51">
        <v>205</v>
      </c>
      <c r="B284" s="52" t="s">
        <v>1650</v>
      </c>
      <c r="C284" s="52" t="s">
        <v>1635</v>
      </c>
      <c r="D284" s="134">
        <v>4378</v>
      </c>
      <c r="E284" s="55" t="s">
        <v>58</v>
      </c>
      <c r="F284" s="57" t="s">
        <v>59</v>
      </c>
      <c r="G284" s="57" t="s">
        <v>64</v>
      </c>
      <c r="H284" s="57" t="s">
        <v>62</v>
      </c>
      <c r="I284" s="57" t="s">
        <v>65</v>
      </c>
    </row>
    <row r="285" spans="1:9" s="163" customFormat="1" ht="24" x14ac:dyDescent="0.2">
      <c r="A285" s="51">
        <v>206</v>
      </c>
      <c r="B285" s="52" t="s">
        <v>1651</v>
      </c>
      <c r="C285" s="52" t="s">
        <v>1652</v>
      </c>
      <c r="D285" s="134">
        <v>387.9</v>
      </c>
      <c r="E285" s="55" t="s">
        <v>58</v>
      </c>
      <c r="F285" s="57" t="s">
        <v>59</v>
      </c>
      <c r="G285" s="57" t="s">
        <v>64</v>
      </c>
      <c r="H285" s="57" t="s">
        <v>62</v>
      </c>
      <c r="I285" s="57" t="s">
        <v>65</v>
      </c>
    </row>
    <row r="286" spans="1:9" s="163" customFormat="1" ht="24" x14ac:dyDescent="0.2">
      <c r="A286" s="51">
        <v>207</v>
      </c>
      <c r="B286" s="52" t="s">
        <v>1653</v>
      </c>
      <c r="C286" s="52" t="s">
        <v>1654</v>
      </c>
      <c r="D286" s="134">
        <f>220*12</f>
        <v>2640</v>
      </c>
      <c r="E286" s="55" t="s">
        <v>58</v>
      </c>
      <c r="F286" s="57" t="s">
        <v>59</v>
      </c>
      <c r="G286" s="57" t="s">
        <v>64</v>
      </c>
      <c r="H286" s="57" t="s">
        <v>62</v>
      </c>
      <c r="I286" s="57" t="s">
        <v>65</v>
      </c>
    </row>
    <row r="287" spans="1:9" s="163" customFormat="1" ht="24" x14ac:dyDescent="0.2">
      <c r="A287" s="51">
        <v>208</v>
      </c>
      <c r="B287" s="52" t="s">
        <v>1655</v>
      </c>
      <c r="C287" s="52" t="s">
        <v>1546</v>
      </c>
      <c r="D287" s="134">
        <v>1300</v>
      </c>
      <c r="E287" s="55" t="s">
        <v>58</v>
      </c>
      <c r="F287" s="57" t="s">
        <v>59</v>
      </c>
      <c r="G287" s="57" t="s">
        <v>64</v>
      </c>
      <c r="H287" s="57" t="s">
        <v>62</v>
      </c>
      <c r="I287" s="57" t="s">
        <v>65</v>
      </c>
    </row>
    <row r="288" spans="1:9" s="163" customFormat="1" ht="24" x14ac:dyDescent="0.2">
      <c r="A288" s="51">
        <v>209</v>
      </c>
      <c r="B288" s="52" t="s">
        <v>1656</v>
      </c>
      <c r="C288" s="52" t="s">
        <v>474</v>
      </c>
      <c r="D288" s="134">
        <v>2400</v>
      </c>
      <c r="E288" s="55" t="s">
        <v>58</v>
      </c>
      <c r="F288" s="57" t="s">
        <v>59</v>
      </c>
      <c r="G288" s="57" t="s">
        <v>64</v>
      </c>
      <c r="H288" s="57" t="s">
        <v>62</v>
      </c>
      <c r="I288" s="57" t="s">
        <v>65</v>
      </c>
    </row>
    <row r="289" spans="1:9" s="163" customFormat="1" ht="24" x14ac:dyDescent="0.2">
      <c r="A289" s="51">
        <v>210</v>
      </c>
      <c r="B289" s="52" t="s">
        <v>935</v>
      </c>
      <c r="C289" s="52" t="s">
        <v>474</v>
      </c>
      <c r="D289" s="134">
        <v>9252</v>
      </c>
      <c r="E289" s="55" t="s">
        <v>58</v>
      </c>
      <c r="F289" s="57" t="s">
        <v>59</v>
      </c>
      <c r="G289" s="57" t="s">
        <v>64</v>
      </c>
      <c r="H289" s="57" t="s">
        <v>62</v>
      </c>
      <c r="I289" s="57" t="s">
        <v>65</v>
      </c>
    </row>
    <row r="290" spans="1:9" s="163" customFormat="1" ht="24" x14ac:dyDescent="0.2">
      <c r="A290" s="51">
        <v>211</v>
      </c>
      <c r="B290" s="52" t="s">
        <v>1657</v>
      </c>
      <c r="C290" s="52" t="s">
        <v>1608</v>
      </c>
      <c r="D290" s="134">
        <v>39000</v>
      </c>
      <c r="E290" s="55" t="s">
        <v>58</v>
      </c>
      <c r="F290" s="57" t="s">
        <v>59</v>
      </c>
      <c r="G290" s="57" t="s">
        <v>64</v>
      </c>
      <c r="H290" s="57" t="s">
        <v>62</v>
      </c>
      <c r="I290" s="57" t="s">
        <v>65</v>
      </c>
    </row>
    <row r="291" spans="1:9" s="163" customFormat="1" ht="24" x14ac:dyDescent="0.2">
      <c r="A291" s="51">
        <v>212</v>
      </c>
      <c r="B291" s="52" t="s">
        <v>1658</v>
      </c>
      <c r="C291" s="52" t="s">
        <v>1659</v>
      </c>
      <c r="D291" s="134">
        <v>432</v>
      </c>
      <c r="E291" s="55" t="s">
        <v>58</v>
      </c>
      <c r="F291" s="57" t="s">
        <v>59</v>
      </c>
      <c r="G291" s="57" t="s">
        <v>64</v>
      </c>
      <c r="H291" s="57" t="s">
        <v>62</v>
      </c>
      <c r="I291" s="57" t="s">
        <v>65</v>
      </c>
    </row>
    <row r="292" spans="1:9" s="163" customFormat="1" ht="24" x14ac:dyDescent="0.2">
      <c r="A292" s="51">
        <v>213</v>
      </c>
      <c r="B292" s="52" t="s">
        <v>1660</v>
      </c>
      <c r="C292" s="52" t="s">
        <v>478</v>
      </c>
      <c r="D292" s="134">
        <v>75000</v>
      </c>
      <c r="E292" s="55" t="s">
        <v>58</v>
      </c>
      <c r="F292" s="57" t="s">
        <v>59</v>
      </c>
      <c r="G292" s="57" t="s">
        <v>64</v>
      </c>
      <c r="H292" s="57" t="s">
        <v>62</v>
      </c>
      <c r="I292" s="57" t="s">
        <v>65</v>
      </c>
    </row>
    <row r="293" spans="1:9" s="163" customFormat="1" ht="24" x14ac:dyDescent="0.2">
      <c r="A293" s="51">
        <v>214</v>
      </c>
      <c r="B293" s="52" t="s">
        <v>1661</v>
      </c>
      <c r="C293" s="52" t="s">
        <v>471</v>
      </c>
      <c r="D293" s="134">
        <v>3976</v>
      </c>
      <c r="E293" s="55" t="s">
        <v>58</v>
      </c>
      <c r="F293" s="57" t="s">
        <v>59</v>
      </c>
      <c r="G293" s="57" t="s">
        <v>64</v>
      </c>
      <c r="H293" s="57" t="s">
        <v>62</v>
      </c>
      <c r="I293" s="57" t="s">
        <v>65</v>
      </c>
    </row>
    <row r="294" spans="1:9" s="163" customFormat="1" ht="24" x14ac:dyDescent="0.2">
      <c r="A294" s="51">
        <v>215</v>
      </c>
      <c r="B294" s="52" t="s">
        <v>1662</v>
      </c>
      <c r="C294" s="52" t="s">
        <v>1663</v>
      </c>
      <c r="D294" s="134">
        <v>24100</v>
      </c>
      <c r="E294" s="55" t="s">
        <v>58</v>
      </c>
      <c r="F294" s="57" t="s">
        <v>59</v>
      </c>
      <c r="G294" s="57" t="s">
        <v>64</v>
      </c>
      <c r="H294" s="57" t="s">
        <v>62</v>
      </c>
      <c r="I294" s="57" t="s">
        <v>65</v>
      </c>
    </row>
    <row r="295" spans="1:9" s="163" customFormat="1" ht="24" x14ac:dyDescent="0.2">
      <c r="A295" s="51">
        <v>216</v>
      </c>
      <c r="B295" s="52" t="s">
        <v>1664</v>
      </c>
      <c r="C295" s="52" t="s">
        <v>267</v>
      </c>
      <c r="D295" s="134">
        <v>3885</v>
      </c>
      <c r="E295" s="55" t="s">
        <v>58</v>
      </c>
      <c r="F295" s="57" t="s">
        <v>59</v>
      </c>
      <c r="G295" s="57" t="s">
        <v>64</v>
      </c>
      <c r="H295" s="57" t="s">
        <v>62</v>
      </c>
      <c r="I295" s="57" t="s">
        <v>65</v>
      </c>
    </row>
    <row r="296" spans="1:9" s="163" customFormat="1" ht="24" x14ac:dyDescent="0.2">
      <c r="A296" s="51">
        <v>217</v>
      </c>
      <c r="B296" s="52" t="s">
        <v>1665</v>
      </c>
      <c r="C296" s="52" t="s">
        <v>1608</v>
      </c>
      <c r="D296" s="134">
        <v>25300</v>
      </c>
      <c r="E296" s="55" t="s">
        <v>58</v>
      </c>
      <c r="F296" s="57" t="s">
        <v>59</v>
      </c>
      <c r="G296" s="57" t="s">
        <v>64</v>
      </c>
      <c r="H296" s="57" t="s">
        <v>62</v>
      </c>
      <c r="I296" s="57" t="s">
        <v>65</v>
      </c>
    </row>
    <row r="297" spans="1:9" s="163" customFormat="1" ht="24" x14ac:dyDescent="0.2">
      <c r="A297" s="51">
        <v>218</v>
      </c>
      <c r="B297" s="52" t="s">
        <v>1666</v>
      </c>
      <c r="C297" s="52" t="s">
        <v>1608</v>
      </c>
      <c r="D297" s="134">
        <v>4400</v>
      </c>
      <c r="E297" s="55" t="s">
        <v>58</v>
      </c>
      <c r="F297" s="57" t="s">
        <v>59</v>
      </c>
      <c r="G297" s="57" t="s">
        <v>64</v>
      </c>
      <c r="H297" s="57" t="s">
        <v>62</v>
      </c>
      <c r="I297" s="57" t="s">
        <v>65</v>
      </c>
    </row>
    <row r="298" spans="1:9" s="163" customFormat="1" ht="24" x14ac:dyDescent="0.2">
      <c r="A298" s="51">
        <v>219</v>
      </c>
      <c r="B298" s="52" t="s">
        <v>1667</v>
      </c>
      <c r="C298" s="52" t="s">
        <v>472</v>
      </c>
      <c r="D298" s="134">
        <v>7073</v>
      </c>
      <c r="E298" s="55" t="s">
        <v>58</v>
      </c>
      <c r="F298" s="57" t="s">
        <v>59</v>
      </c>
      <c r="G298" s="57" t="s">
        <v>64</v>
      </c>
      <c r="H298" s="57" t="s">
        <v>62</v>
      </c>
      <c r="I298" s="57" t="s">
        <v>65</v>
      </c>
    </row>
    <row r="299" spans="1:9" s="27" customFormat="1" ht="24" x14ac:dyDescent="0.2">
      <c r="A299" s="51">
        <v>220</v>
      </c>
      <c r="B299" s="52" t="s">
        <v>863</v>
      </c>
      <c r="C299" s="52" t="s">
        <v>123</v>
      </c>
      <c r="D299" s="134">
        <v>9140</v>
      </c>
      <c r="E299" s="55" t="s">
        <v>58</v>
      </c>
      <c r="F299" s="57" t="s">
        <v>59</v>
      </c>
      <c r="G299" s="57" t="s">
        <v>64</v>
      </c>
      <c r="H299" s="57" t="s">
        <v>62</v>
      </c>
      <c r="I299" s="57" t="s">
        <v>65</v>
      </c>
    </row>
    <row r="300" spans="1:9" s="27" customFormat="1" ht="12.75" x14ac:dyDescent="0.2">
      <c r="A300" s="203" t="s">
        <v>194</v>
      </c>
      <c r="B300" s="204"/>
      <c r="C300" s="205"/>
      <c r="D300" s="58">
        <f>SUM(D253:D299)*1.21</f>
        <v>688260.70499999996</v>
      </c>
      <c r="E300" s="55"/>
      <c r="F300" s="56"/>
      <c r="G300" s="56"/>
      <c r="H300" s="56"/>
      <c r="I300" s="57"/>
    </row>
    <row r="301" spans="1:9" ht="24" hidden="1" x14ac:dyDescent="0.25">
      <c r="A301" s="98">
        <v>227</v>
      </c>
      <c r="B301" s="196" t="s">
        <v>125</v>
      </c>
      <c r="C301" s="111" t="s">
        <v>126</v>
      </c>
      <c r="D301" s="99"/>
      <c r="E301" s="87" t="s">
        <v>58</v>
      </c>
      <c r="F301" s="88" t="s">
        <v>59</v>
      </c>
      <c r="G301" s="88" t="s">
        <v>64</v>
      </c>
      <c r="H301" s="88" t="s">
        <v>128</v>
      </c>
      <c r="I301" s="89" t="s">
        <v>65</v>
      </c>
    </row>
    <row r="302" spans="1:9" s="101" customFormat="1" ht="24" hidden="1" x14ac:dyDescent="0.2">
      <c r="A302" s="98">
        <v>228</v>
      </c>
      <c r="B302" s="53" t="s">
        <v>399</v>
      </c>
      <c r="C302" s="52" t="s">
        <v>400</v>
      </c>
      <c r="D302" s="97"/>
      <c r="E302" s="55" t="s">
        <v>58</v>
      </c>
      <c r="F302" s="56" t="s">
        <v>59</v>
      </c>
      <c r="G302" s="56" t="s">
        <v>64</v>
      </c>
      <c r="H302" s="56" t="s">
        <v>128</v>
      </c>
      <c r="I302" s="57" t="s">
        <v>65</v>
      </c>
    </row>
    <row r="303" spans="1:9" s="101" customFormat="1" ht="24" hidden="1" x14ac:dyDescent="0.2">
      <c r="A303" s="98">
        <v>229</v>
      </c>
      <c r="B303" s="53" t="s">
        <v>401</v>
      </c>
      <c r="C303" s="52" t="s">
        <v>258</v>
      </c>
      <c r="D303" s="100"/>
      <c r="E303" s="55" t="s">
        <v>58</v>
      </c>
      <c r="F303" s="56" t="s">
        <v>59</v>
      </c>
      <c r="G303" s="56" t="s">
        <v>64</v>
      </c>
      <c r="H303" s="56" t="s">
        <v>128</v>
      </c>
      <c r="I303" s="57" t="s">
        <v>65</v>
      </c>
    </row>
    <row r="304" spans="1:9" s="39" customFormat="1" ht="24" hidden="1" x14ac:dyDescent="0.25">
      <c r="A304" s="98">
        <v>230</v>
      </c>
      <c r="B304" s="53" t="s">
        <v>402</v>
      </c>
      <c r="C304" s="53" t="s">
        <v>403</v>
      </c>
      <c r="D304" s="100"/>
      <c r="E304" s="55" t="s">
        <v>58</v>
      </c>
      <c r="F304" s="56" t="s">
        <v>59</v>
      </c>
      <c r="G304" s="56" t="s">
        <v>64</v>
      </c>
      <c r="H304" s="56" t="s">
        <v>128</v>
      </c>
      <c r="I304" s="57" t="s">
        <v>65</v>
      </c>
    </row>
    <row r="305" spans="1:9" ht="24" x14ac:dyDescent="0.25">
      <c r="A305" s="98">
        <v>221</v>
      </c>
      <c r="B305" s="61" t="s">
        <v>925</v>
      </c>
      <c r="C305" s="62" t="s">
        <v>127</v>
      </c>
      <c r="D305" s="54">
        <v>110000</v>
      </c>
      <c r="E305" s="55" t="s">
        <v>58</v>
      </c>
      <c r="F305" s="56" t="s">
        <v>59</v>
      </c>
      <c r="G305" s="56" t="s">
        <v>64</v>
      </c>
      <c r="H305" s="56" t="s">
        <v>128</v>
      </c>
      <c r="I305" s="57" t="s">
        <v>65</v>
      </c>
    </row>
    <row r="306" spans="1:9" s="27" customFormat="1" ht="12.75" x14ac:dyDescent="0.2">
      <c r="A306" s="203" t="s">
        <v>195</v>
      </c>
      <c r="B306" s="204"/>
      <c r="C306" s="205"/>
      <c r="D306" s="58">
        <f>SUM(D301:D305)*1.21</f>
        <v>133100</v>
      </c>
      <c r="E306" s="55"/>
      <c r="F306" s="56"/>
      <c r="G306" s="56"/>
      <c r="H306" s="56"/>
      <c r="I306" s="57"/>
    </row>
    <row r="307" spans="1:9" ht="24" x14ac:dyDescent="0.25">
      <c r="A307" s="51">
        <v>222</v>
      </c>
      <c r="B307" s="61" t="s">
        <v>129</v>
      </c>
      <c r="C307" s="61" t="s">
        <v>268</v>
      </c>
      <c r="D307" s="54">
        <v>20000</v>
      </c>
      <c r="E307" s="55" t="s">
        <v>58</v>
      </c>
      <c r="F307" s="56" t="s">
        <v>59</v>
      </c>
      <c r="G307" s="56" t="s">
        <v>64</v>
      </c>
      <c r="H307" s="56" t="s">
        <v>128</v>
      </c>
      <c r="I307" s="57" t="s">
        <v>65</v>
      </c>
    </row>
    <row r="308" spans="1:9" ht="24" hidden="1" x14ac:dyDescent="0.25">
      <c r="A308" s="51">
        <v>329</v>
      </c>
      <c r="B308" s="61" t="s">
        <v>233</v>
      </c>
      <c r="C308" s="61" t="s">
        <v>234</v>
      </c>
      <c r="D308" s="54"/>
      <c r="E308" s="55" t="s">
        <v>58</v>
      </c>
      <c r="F308" s="56" t="s">
        <v>59</v>
      </c>
      <c r="G308" s="56" t="s">
        <v>64</v>
      </c>
      <c r="H308" s="56" t="s">
        <v>128</v>
      </c>
      <c r="I308" s="57" t="s">
        <v>65</v>
      </c>
    </row>
    <row r="309" spans="1:9" ht="24" hidden="1" x14ac:dyDescent="0.25">
      <c r="A309" s="51">
        <v>330</v>
      </c>
      <c r="B309" s="61" t="s">
        <v>235</v>
      </c>
      <c r="C309" s="61" t="s">
        <v>236</v>
      </c>
      <c r="D309" s="54"/>
      <c r="E309" s="55" t="s">
        <v>58</v>
      </c>
      <c r="F309" s="56" t="s">
        <v>59</v>
      </c>
      <c r="G309" s="56" t="s">
        <v>64</v>
      </c>
      <c r="H309" s="56" t="s">
        <v>128</v>
      </c>
      <c r="I309" s="57" t="s">
        <v>65</v>
      </c>
    </row>
    <row r="310" spans="1:9" s="27" customFormat="1" ht="12.75" x14ac:dyDescent="0.2">
      <c r="A310" s="203" t="s">
        <v>196</v>
      </c>
      <c r="B310" s="204"/>
      <c r="C310" s="205"/>
      <c r="D310" s="58">
        <f>SUM(D307:D309)*1.21</f>
        <v>24200</v>
      </c>
      <c r="E310" s="55"/>
      <c r="F310" s="56"/>
      <c r="G310" s="56"/>
      <c r="H310" s="56"/>
      <c r="I310" s="57"/>
    </row>
    <row r="311" spans="1:9" ht="48" x14ac:dyDescent="0.25">
      <c r="A311" s="51">
        <v>223</v>
      </c>
      <c r="B311" s="61" t="s">
        <v>130</v>
      </c>
      <c r="C311" s="61" t="s">
        <v>131</v>
      </c>
      <c r="D311" s="54">
        <f>135000/1.21</f>
        <v>111570.2479338843</v>
      </c>
      <c r="E311" s="55" t="s">
        <v>58</v>
      </c>
      <c r="F311" s="56" t="s">
        <v>59</v>
      </c>
      <c r="G311" s="56" t="s">
        <v>64</v>
      </c>
      <c r="H311" s="56" t="s">
        <v>128</v>
      </c>
      <c r="I311" s="57" t="s">
        <v>65</v>
      </c>
    </row>
    <row r="312" spans="1:9" s="27" customFormat="1" ht="12.75" x14ac:dyDescent="0.2">
      <c r="A312" s="203" t="s">
        <v>197</v>
      </c>
      <c r="B312" s="204"/>
      <c r="C312" s="205"/>
      <c r="D312" s="58">
        <f>SUM(D311)*1.21</f>
        <v>135000</v>
      </c>
      <c r="E312" s="55"/>
      <c r="F312" s="56"/>
      <c r="G312" s="56"/>
      <c r="H312" s="56"/>
      <c r="I312" s="57"/>
    </row>
    <row r="313" spans="1:9" ht="60" x14ac:dyDescent="0.25">
      <c r="A313" s="51">
        <v>224</v>
      </c>
      <c r="B313" s="61" t="s">
        <v>132</v>
      </c>
      <c r="C313" s="61" t="s">
        <v>133</v>
      </c>
      <c r="D313" s="54">
        <f>110000/1.21</f>
        <v>90909.090909090912</v>
      </c>
      <c r="E313" s="55" t="s">
        <v>58</v>
      </c>
      <c r="F313" s="56" t="s">
        <v>59</v>
      </c>
      <c r="G313" s="56" t="s">
        <v>64</v>
      </c>
      <c r="H313" s="56" t="s">
        <v>128</v>
      </c>
      <c r="I313" s="57" t="s">
        <v>65</v>
      </c>
    </row>
    <row r="314" spans="1:9" s="27" customFormat="1" ht="12.75" x14ac:dyDescent="0.2">
      <c r="A314" s="203" t="s">
        <v>198</v>
      </c>
      <c r="B314" s="204"/>
      <c r="C314" s="205"/>
      <c r="D314" s="58">
        <f>SUM(D313)*1.21</f>
        <v>110000</v>
      </c>
      <c r="E314" s="55"/>
      <c r="F314" s="56"/>
      <c r="G314" s="56"/>
      <c r="H314" s="56"/>
      <c r="I314" s="57"/>
    </row>
    <row r="315" spans="1:9" ht="24" x14ac:dyDescent="0.25">
      <c r="A315" s="51">
        <v>225</v>
      </c>
      <c r="B315" s="61" t="s">
        <v>134</v>
      </c>
      <c r="C315" s="62" t="s">
        <v>135</v>
      </c>
      <c r="D315" s="54">
        <f>162600/1.21</f>
        <v>134380.1652892562</v>
      </c>
      <c r="E315" s="55" t="s">
        <v>58</v>
      </c>
      <c r="F315" s="56" t="s">
        <v>59</v>
      </c>
      <c r="G315" s="56" t="s">
        <v>64</v>
      </c>
      <c r="H315" s="56" t="s">
        <v>128</v>
      </c>
      <c r="I315" s="57" t="s">
        <v>65</v>
      </c>
    </row>
    <row r="316" spans="1:9" ht="24" hidden="1" x14ac:dyDescent="0.25">
      <c r="A316" s="51">
        <v>232</v>
      </c>
      <c r="B316" s="53" t="s">
        <v>279</v>
      </c>
      <c r="C316" s="62" t="s">
        <v>287</v>
      </c>
      <c r="D316" s="67"/>
      <c r="E316" s="55" t="s">
        <v>58</v>
      </c>
      <c r="F316" s="56" t="s">
        <v>59</v>
      </c>
      <c r="G316" s="56" t="s">
        <v>64</v>
      </c>
      <c r="H316" s="56" t="s">
        <v>128</v>
      </c>
      <c r="I316" s="57" t="s">
        <v>65</v>
      </c>
    </row>
    <row r="317" spans="1:9" ht="24" hidden="1" x14ac:dyDescent="0.25">
      <c r="A317" s="51">
        <v>233</v>
      </c>
      <c r="B317" s="53" t="s">
        <v>279</v>
      </c>
      <c r="C317" s="62" t="s">
        <v>287</v>
      </c>
      <c r="D317" s="67"/>
      <c r="E317" s="55" t="s">
        <v>58</v>
      </c>
      <c r="F317" s="56" t="s">
        <v>59</v>
      </c>
      <c r="G317" s="56" t="s">
        <v>64</v>
      </c>
      <c r="H317" s="56" t="s">
        <v>128</v>
      </c>
      <c r="I317" s="57" t="s">
        <v>65</v>
      </c>
    </row>
    <row r="318" spans="1:9" ht="24" hidden="1" x14ac:dyDescent="0.25">
      <c r="A318" s="51">
        <v>234</v>
      </c>
      <c r="B318" s="53" t="s">
        <v>279</v>
      </c>
      <c r="C318" s="62" t="s">
        <v>287</v>
      </c>
      <c r="D318" s="67"/>
      <c r="E318" s="55" t="s">
        <v>58</v>
      </c>
      <c r="F318" s="56" t="s">
        <v>59</v>
      </c>
      <c r="G318" s="56" t="s">
        <v>64</v>
      </c>
      <c r="H318" s="56" t="s">
        <v>128</v>
      </c>
      <c r="I318" s="57" t="s">
        <v>65</v>
      </c>
    </row>
    <row r="319" spans="1:9" ht="24" hidden="1" x14ac:dyDescent="0.25">
      <c r="A319" s="51">
        <v>235</v>
      </c>
      <c r="B319" s="53" t="s">
        <v>387</v>
      </c>
      <c r="C319" s="62" t="s">
        <v>287</v>
      </c>
      <c r="D319" s="67"/>
      <c r="E319" s="55" t="s">
        <v>58</v>
      </c>
      <c r="F319" s="56" t="s">
        <v>59</v>
      </c>
      <c r="G319" s="56" t="s">
        <v>64</v>
      </c>
      <c r="H319" s="56" t="s">
        <v>70</v>
      </c>
      <c r="I319" s="57" t="s">
        <v>65</v>
      </c>
    </row>
    <row r="320" spans="1:9" ht="24" hidden="1" x14ac:dyDescent="0.25">
      <c r="A320" s="51">
        <v>236</v>
      </c>
      <c r="B320" s="53" t="s">
        <v>309</v>
      </c>
      <c r="C320" s="62" t="s">
        <v>240</v>
      </c>
      <c r="D320" s="67"/>
      <c r="E320" s="55" t="s">
        <v>58</v>
      </c>
      <c r="F320" s="56" t="s">
        <v>59</v>
      </c>
      <c r="G320" s="56" t="s">
        <v>64</v>
      </c>
      <c r="H320" s="56" t="s">
        <v>128</v>
      </c>
      <c r="I320" s="57" t="s">
        <v>65</v>
      </c>
    </row>
    <row r="321" spans="1:9" ht="24" hidden="1" x14ac:dyDescent="0.25">
      <c r="A321" s="51">
        <v>237</v>
      </c>
      <c r="B321" s="53" t="s">
        <v>310</v>
      </c>
      <c r="C321" s="62" t="s">
        <v>299</v>
      </c>
      <c r="D321" s="67"/>
      <c r="E321" s="55" t="s">
        <v>58</v>
      </c>
      <c r="F321" s="56" t="s">
        <v>59</v>
      </c>
      <c r="G321" s="56" t="s">
        <v>64</v>
      </c>
      <c r="H321" s="56" t="s">
        <v>128</v>
      </c>
      <c r="I321" s="57" t="s">
        <v>65</v>
      </c>
    </row>
    <row r="322" spans="1:9" ht="24" hidden="1" x14ac:dyDescent="0.25">
      <c r="A322" s="51">
        <v>238</v>
      </c>
      <c r="B322" s="53" t="s">
        <v>311</v>
      </c>
      <c r="C322" s="53" t="s">
        <v>250</v>
      </c>
      <c r="D322" s="67"/>
      <c r="E322" s="55" t="s">
        <v>58</v>
      </c>
      <c r="F322" s="56" t="s">
        <v>59</v>
      </c>
      <c r="G322" s="56" t="s">
        <v>64</v>
      </c>
      <c r="H322" s="56" t="s">
        <v>128</v>
      </c>
      <c r="I322" s="57" t="s">
        <v>65</v>
      </c>
    </row>
    <row r="323" spans="1:9" ht="24" hidden="1" x14ac:dyDescent="0.25">
      <c r="A323" s="51">
        <v>239</v>
      </c>
      <c r="B323" s="53" t="s">
        <v>312</v>
      </c>
      <c r="C323" s="53" t="s">
        <v>255</v>
      </c>
      <c r="D323" s="67"/>
      <c r="E323" s="55" t="s">
        <v>58</v>
      </c>
      <c r="F323" s="56" t="s">
        <v>59</v>
      </c>
      <c r="G323" s="56" t="s">
        <v>64</v>
      </c>
      <c r="H323" s="56" t="s">
        <v>128</v>
      </c>
      <c r="I323" s="57" t="s">
        <v>65</v>
      </c>
    </row>
    <row r="324" spans="1:9" ht="24" hidden="1" x14ac:dyDescent="0.25">
      <c r="A324" s="51">
        <v>240</v>
      </c>
      <c r="B324" s="53" t="s">
        <v>313</v>
      </c>
      <c r="C324" s="62" t="s">
        <v>289</v>
      </c>
      <c r="D324" s="67"/>
      <c r="E324" s="55" t="s">
        <v>58</v>
      </c>
      <c r="F324" s="56" t="s">
        <v>59</v>
      </c>
      <c r="G324" s="56" t="s">
        <v>64</v>
      </c>
      <c r="H324" s="56" t="s">
        <v>128</v>
      </c>
      <c r="I324" s="57" t="s">
        <v>65</v>
      </c>
    </row>
    <row r="325" spans="1:9" ht="24" hidden="1" x14ac:dyDescent="0.25">
      <c r="A325" s="51">
        <v>241</v>
      </c>
      <c r="B325" s="53" t="s">
        <v>271</v>
      </c>
      <c r="C325" s="62" t="s">
        <v>289</v>
      </c>
      <c r="D325" s="67"/>
      <c r="E325" s="55" t="s">
        <v>58</v>
      </c>
      <c r="F325" s="56" t="s">
        <v>59</v>
      </c>
      <c r="G325" s="56" t="s">
        <v>64</v>
      </c>
      <c r="H325" s="56" t="s">
        <v>128</v>
      </c>
      <c r="I325" s="57" t="s">
        <v>65</v>
      </c>
    </row>
    <row r="326" spans="1:9" ht="24" hidden="1" x14ac:dyDescent="0.25">
      <c r="A326" s="51">
        <v>242</v>
      </c>
      <c r="B326" s="53" t="s">
        <v>389</v>
      </c>
      <c r="C326" s="62" t="s">
        <v>135</v>
      </c>
      <c r="D326" s="67"/>
      <c r="E326" s="55" t="s">
        <v>58</v>
      </c>
      <c r="F326" s="56" t="s">
        <v>59</v>
      </c>
      <c r="G326" s="56" t="s">
        <v>64</v>
      </c>
      <c r="H326" s="56" t="s">
        <v>128</v>
      </c>
      <c r="I326" s="57" t="s">
        <v>65</v>
      </c>
    </row>
    <row r="327" spans="1:9" ht="24" hidden="1" x14ac:dyDescent="0.25">
      <c r="A327" s="51">
        <v>2</v>
      </c>
      <c r="B327" s="53" t="s">
        <v>314</v>
      </c>
      <c r="C327" s="53" t="s">
        <v>247</v>
      </c>
      <c r="D327" s="67"/>
      <c r="E327" s="55" t="s">
        <v>58</v>
      </c>
      <c r="F327" s="56" t="s">
        <v>59</v>
      </c>
      <c r="G327" s="56" t="s">
        <v>64</v>
      </c>
      <c r="H327" s="56" t="s">
        <v>128</v>
      </c>
      <c r="I327" s="57" t="s">
        <v>65</v>
      </c>
    </row>
    <row r="328" spans="1:9" ht="24" hidden="1" x14ac:dyDescent="0.25">
      <c r="A328" s="51">
        <v>346</v>
      </c>
      <c r="B328" s="53" t="s">
        <v>314</v>
      </c>
      <c r="C328" s="53" t="s">
        <v>247</v>
      </c>
      <c r="D328" s="67"/>
      <c r="E328" s="55" t="s">
        <v>58</v>
      </c>
      <c r="F328" s="56" t="s">
        <v>59</v>
      </c>
      <c r="G328" s="56" t="s">
        <v>64</v>
      </c>
      <c r="H328" s="56" t="s">
        <v>128</v>
      </c>
      <c r="I328" s="57" t="s">
        <v>65</v>
      </c>
    </row>
    <row r="329" spans="1:9" ht="24" hidden="1" x14ac:dyDescent="0.25">
      <c r="A329" s="51">
        <v>347</v>
      </c>
      <c r="B329" s="53" t="s">
        <v>314</v>
      </c>
      <c r="C329" s="53" t="s">
        <v>247</v>
      </c>
      <c r="D329" s="67"/>
      <c r="E329" s="55" t="s">
        <v>58</v>
      </c>
      <c r="F329" s="56" t="s">
        <v>59</v>
      </c>
      <c r="G329" s="56" t="s">
        <v>64</v>
      </c>
      <c r="H329" s="56" t="s">
        <v>128</v>
      </c>
      <c r="I329" s="57" t="s">
        <v>65</v>
      </c>
    </row>
    <row r="330" spans="1:9" ht="24" hidden="1" x14ac:dyDescent="0.25">
      <c r="A330" s="51">
        <v>348</v>
      </c>
      <c r="B330" s="53" t="s">
        <v>315</v>
      </c>
      <c r="C330" s="62" t="s">
        <v>301</v>
      </c>
      <c r="D330" s="67"/>
      <c r="E330" s="55" t="s">
        <v>58</v>
      </c>
      <c r="F330" s="56" t="s">
        <v>59</v>
      </c>
      <c r="G330" s="56" t="s">
        <v>64</v>
      </c>
      <c r="H330" s="56" t="s">
        <v>128</v>
      </c>
      <c r="I330" s="57" t="s">
        <v>65</v>
      </c>
    </row>
    <row r="331" spans="1:9" ht="24" hidden="1" x14ac:dyDescent="0.25">
      <c r="A331" s="51">
        <v>349</v>
      </c>
      <c r="B331" s="53" t="s">
        <v>316</v>
      </c>
      <c r="C331" s="62" t="s">
        <v>296</v>
      </c>
      <c r="D331" s="67"/>
      <c r="E331" s="55" t="s">
        <v>58</v>
      </c>
      <c r="F331" s="56" t="s">
        <v>59</v>
      </c>
      <c r="G331" s="56" t="s">
        <v>64</v>
      </c>
      <c r="H331" s="56" t="s">
        <v>128</v>
      </c>
      <c r="I331" s="57" t="s">
        <v>65</v>
      </c>
    </row>
    <row r="332" spans="1:9" ht="24" hidden="1" x14ac:dyDescent="0.25">
      <c r="A332" s="51">
        <v>350</v>
      </c>
      <c r="B332" s="53" t="s">
        <v>316</v>
      </c>
      <c r="C332" s="62" t="s">
        <v>296</v>
      </c>
      <c r="D332" s="67"/>
      <c r="E332" s="55" t="s">
        <v>58</v>
      </c>
      <c r="F332" s="56" t="s">
        <v>59</v>
      </c>
      <c r="G332" s="56" t="s">
        <v>64</v>
      </c>
      <c r="H332" s="56" t="s">
        <v>128</v>
      </c>
      <c r="I332" s="57" t="s">
        <v>65</v>
      </c>
    </row>
    <row r="333" spans="1:9" ht="24" hidden="1" x14ac:dyDescent="0.25">
      <c r="A333" s="51">
        <v>351</v>
      </c>
      <c r="B333" s="53" t="s">
        <v>280</v>
      </c>
      <c r="C333" s="53" t="s">
        <v>246</v>
      </c>
      <c r="D333" s="67"/>
      <c r="E333" s="55" t="s">
        <v>58</v>
      </c>
      <c r="F333" s="56" t="s">
        <v>59</v>
      </c>
      <c r="G333" s="56" t="s">
        <v>64</v>
      </c>
      <c r="H333" s="56" t="s">
        <v>128</v>
      </c>
      <c r="I333" s="57" t="s">
        <v>65</v>
      </c>
    </row>
    <row r="334" spans="1:9" ht="24" hidden="1" x14ac:dyDescent="0.25">
      <c r="A334" s="51">
        <v>352</v>
      </c>
      <c r="B334" s="53" t="s">
        <v>317</v>
      </c>
      <c r="C334" s="53" t="s">
        <v>248</v>
      </c>
      <c r="D334" s="67"/>
      <c r="E334" s="55" t="s">
        <v>58</v>
      </c>
      <c r="F334" s="56" t="s">
        <v>59</v>
      </c>
      <c r="G334" s="56" t="s">
        <v>64</v>
      </c>
      <c r="H334" s="56" t="s">
        <v>128</v>
      </c>
      <c r="I334" s="57" t="s">
        <v>65</v>
      </c>
    </row>
    <row r="335" spans="1:9" ht="24" hidden="1" x14ac:dyDescent="0.25">
      <c r="A335" s="51">
        <v>353</v>
      </c>
      <c r="B335" s="53" t="s">
        <v>318</v>
      </c>
      <c r="C335" s="53" t="s">
        <v>248</v>
      </c>
      <c r="D335" s="67"/>
      <c r="E335" s="55" t="s">
        <v>58</v>
      </c>
      <c r="F335" s="56" t="s">
        <v>59</v>
      </c>
      <c r="G335" s="56" t="s">
        <v>64</v>
      </c>
      <c r="H335" s="56" t="s">
        <v>128</v>
      </c>
      <c r="I335" s="57" t="s">
        <v>65</v>
      </c>
    </row>
    <row r="336" spans="1:9" ht="24" hidden="1" x14ac:dyDescent="0.25">
      <c r="A336" s="51">
        <v>354</v>
      </c>
      <c r="B336" s="53" t="s">
        <v>281</v>
      </c>
      <c r="C336" s="53" t="s">
        <v>248</v>
      </c>
      <c r="D336" s="67"/>
      <c r="E336" s="55" t="s">
        <v>58</v>
      </c>
      <c r="F336" s="56" t="s">
        <v>59</v>
      </c>
      <c r="G336" s="56" t="s">
        <v>64</v>
      </c>
      <c r="H336" s="56" t="s">
        <v>128</v>
      </c>
      <c r="I336" s="57" t="s">
        <v>65</v>
      </c>
    </row>
    <row r="337" spans="1:9" ht="24" hidden="1" x14ac:dyDescent="0.25">
      <c r="A337" s="51">
        <v>355</v>
      </c>
      <c r="B337" s="53" t="s">
        <v>319</v>
      </c>
      <c r="C337" s="53" t="s">
        <v>247</v>
      </c>
      <c r="D337" s="67"/>
      <c r="E337" s="55" t="s">
        <v>58</v>
      </c>
      <c r="F337" s="56" t="s">
        <v>59</v>
      </c>
      <c r="G337" s="56" t="s">
        <v>64</v>
      </c>
      <c r="H337" s="56" t="s">
        <v>128</v>
      </c>
      <c r="I337" s="57" t="s">
        <v>65</v>
      </c>
    </row>
    <row r="338" spans="1:9" ht="24" hidden="1" x14ac:dyDescent="0.25">
      <c r="A338" s="51">
        <v>356</v>
      </c>
      <c r="B338" s="53" t="s">
        <v>283</v>
      </c>
      <c r="C338" s="53" t="s">
        <v>247</v>
      </c>
      <c r="D338" s="67"/>
      <c r="E338" s="55" t="s">
        <v>58</v>
      </c>
      <c r="F338" s="56" t="s">
        <v>59</v>
      </c>
      <c r="G338" s="56" t="s">
        <v>64</v>
      </c>
      <c r="H338" s="56" t="s">
        <v>128</v>
      </c>
      <c r="I338" s="57" t="s">
        <v>65</v>
      </c>
    </row>
    <row r="339" spans="1:9" ht="24" hidden="1" x14ac:dyDescent="0.25">
      <c r="A339" s="51">
        <v>357</v>
      </c>
      <c r="B339" s="53" t="s">
        <v>320</v>
      </c>
      <c r="C339" s="53" t="s">
        <v>247</v>
      </c>
      <c r="D339" s="67"/>
      <c r="E339" s="55" t="s">
        <v>58</v>
      </c>
      <c r="F339" s="56" t="s">
        <v>59</v>
      </c>
      <c r="G339" s="56" t="s">
        <v>64</v>
      </c>
      <c r="H339" s="56" t="s">
        <v>128</v>
      </c>
      <c r="I339" s="57" t="s">
        <v>65</v>
      </c>
    </row>
    <row r="340" spans="1:9" ht="24" hidden="1" x14ac:dyDescent="0.25">
      <c r="A340" s="51">
        <v>358</v>
      </c>
      <c r="B340" s="53" t="s">
        <v>321</v>
      </c>
      <c r="C340" s="53" t="s">
        <v>247</v>
      </c>
      <c r="D340" s="67"/>
      <c r="E340" s="55" t="s">
        <v>58</v>
      </c>
      <c r="F340" s="56" t="s">
        <v>59</v>
      </c>
      <c r="G340" s="56" t="s">
        <v>64</v>
      </c>
      <c r="H340" s="56" t="s">
        <v>128</v>
      </c>
      <c r="I340" s="57" t="s">
        <v>65</v>
      </c>
    </row>
    <row r="341" spans="1:9" ht="24" hidden="1" x14ac:dyDescent="0.25">
      <c r="A341" s="51">
        <v>359</v>
      </c>
      <c r="B341" s="53" t="s">
        <v>322</v>
      </c>
      <c r="C341" s="53" t="s">
        <v>247</v>
      </c>
      <c r="D341" s="67"/>
      <c r="E341" s="55" t="s">
        <v>58</v>
      </c>
      <c r="F341" s="56" t="s">
        <v>59</v>
      </c>
      <c r="G341" s="56" t="s">
        <v>64</v>
      </c>
      <c r="H341" s="56" t="s">
        <v>128</v>
      </c>
      <c r="I341" s="57" t="s">
        <v>65</v>
      </c>
    </row>
    <row r="342" spans="1:9" ht="24" hidden="1" x14ac:dyDescent="0.25">
      <c r="A342" s="51">
        <v>360</v>
      </c>
      <c r="B342" s="53" t="s">
        <v>323</v>
      </c>
      <c r="C342" s="53" t="s">
        <v>247</v>
      </c>
      <c r="D342" s="67"/>
      <c r="E342" s="55" t="s">
        <v>58</v>
      </c>
      <c r="F342" s="56" t="s">
        <v>59</v>
      </c>
      <c r="G342" s="56" t="s">
        <v>64</v>
      </c>
      <c r="H342" s="56" t="s">
        <v>128</v>
      </c>
      <c r="I342" s="57" t="s">
        <v>65</v>
      </c>
    </row>
    <row r="343" spans="1:9" ht="24" hidden="1" x14ac:dyDescent="0.25">
      <c r="A343" s="51">
        <v>361</v>
      </c>
      <c r="B343" s="53" t="s">
        <v>324</v>
      </c>
      <c r="C343" s="53" t="s">
        <v>247</v>
      </c>
      <c r="D343" s="67"/>
      <c r="E343" s="55" t="s">
        <v>58</v>
      </c>
      <c r="F343" s="56" t="s">
        <v>59</v>
      </c>
      <c r="G343" s="56" t="s">
        <v>64</v>
      </c>
      <c r="H343" s="56" t="s">
        <v>128</v>
      </c>
      <c r="I343" s="57" t="s">
        <v>65</v>
      </c>
    </row>
    <row r="344" spans="1:9" ht="24" hidden="1" x14ac:dyDescent="0.25">
      <c r="A344" s="51">
        <v>362</v>
      </c>
      <c r="B344" s="53" t="s">
        <v>325</v>
      </c>
      <c r="C344" s="53" t="s">
        <v>247</v>
      </c>
      <c r="D344" s="67"/>
      <c r="E344" s="55" t="s">
        <v>58</v>
      </c>
      <c r="F344" s="56" t="s">
        <v>59</v>
      </c>
      <c r="G344" s="56" t="s">
        <v>64</v>
      </c>
      <c r="H344" s="56" t="s">
        <v>128</v>
      </c>
      <c r="I344" s="57" t="s">
        <v>65</v>
      </c>
    </row>
    <row r="345" spans="1:9" ht="24" hidden="1" x14ac:dyDescent="0.25">
      <c r="A345" s="51">
        <v>363</v>
      </c>
      <c r="B345" s="53" t="s">
        <v>326</v>
      </c>
      <c r="C345" s="53" t="s">
        <v>247</v>
      </c>
      <c r="D345" s="67"/>
      <c r="E345" s="55" t="s">
        <v>58</v>
      </c>
      <c r="F345" s="56" t="s">
        <v>59</v>
      </c>
      <c r="G345" s="56" t="s">
        <v>64</v>
      </c>
      <c r="H345" s="56" t="s">
        <v>128</v>
      </c>
      <c r="I345" s="57" t="s">
        <v>65</v>
      </c>
    </row>
    <row r="346" spans="1:9" ht="24" hidden="1" x14ac:dyDescent="0.25">
      <c r="A346" s="51">
        <v>364</v>
      </c>
      <c r="B346" s="53" t="s">
        <v>327</v>
      </c>
      <c r="C346" s="62" t="s">
        <v>256</v>
      </c>
      <c r="D346" s="67"/>
      <c r="E346" s="55" t="s">
        <v>58</v>
      </c>
      <c r="F346" s="56" t="s">
        <v>59</v>
      </c>
      <c r="G346" s="56" t="s">
        <v>64</v>
      </c>
      <c r="H346" s="56" t="s">
        <v>128</v>
      </c>
      <c r="I346" s="57" t="s">
        <v>65</v>
      </c>
    </row>
    <row r="347" spans="1:9" ht="24" hidden="1" x14ac:dyDescent="0.25">
      <c r="A347" s="51">
        <v>365</v>
      </c>
      <c r="B347" s="53" t="s">
        <v>328</v>
      </c>
      <c r="C347" s="62" t="s">
        <v>256</v>
      </c>
      <c r="D347" s="67"/>
      <c r="E347" s="55" t="s">
        <v>58</v>
      </c>
      <c r="F347" s="56" t="s">
        <v>59</v>
      </c>
      <c r="G347" s="56" t="s">
        <v>64</v>
      </c>
      <c r="H347" s="56" t="s">
        <v>128</v>
      </c>
      <c r="I347" s="57" t="s">
        <v>65</v>
      </c>
    </row>
    <row r="348" spans="1:9" ht="24" hidden="1" x14ac:dyDescent="0.25">
      <c r="A348" s="51">
        <v>366</v>
      </c>
      <c r="B348" s="53" t="s">
        <v>329</v>
      </c>
      <c r="C348" s="62" t="s">
        <v>256</v>
      </c>
      <c r="D348" s="67"/>
      <c r="E348" s="55" t="s">
        <v>58</v>
      </c>
      <c r="F348" s="56" t="s">
        <v>59</v>
      </c>
      <c r="G348" s="56" t="s">
        <v>64</v>
      </c>
      <c r="H348" s="56" t="s">
        <v>128</v>
      </c>
      <c r="I348" s="57" t="s">
        <v>65</v>
      </c>
    </row>
    <row r="349" spans="1:9" ht="24" hidden="1" x14ac:dyDescent="0.25">
      <c r="A349" s="51">
        <v>367</v>
      </c>
      <c r="B349" s="53" t="s">
        <v>330</v>
      </c>
      <c r="C349" s="62" t="s">
        <v>256</v>
      </c>
      <c r="D349" s="67"/>
      <c r="E349" s="55" t="s">
        <v>58</v>
      </c>
      <c r="F349" s="56" t="s">
        <v>59</v>
      </c>
      <c r="G349" s="56" t="s">
        <v>64</v>
      </c>
      <c r="H349" s="56" t="s">
        <v>128</v>
      </c>
      <c r="I349" s="57" t="s">
        <v>65</v>
      </c>
    </row>
    <row r="350" spans="1:9" ht="24" hidden="1" x14ac:dyDescent="0.25">
      <c r="A350" s="51">
        <v>368</v>
      </c>
      <c r="B350" s="53" t="s">
        <v>331</v>
      </c>
      <c r="C350" s="62" t="s">
        <v>256</v>
      </c>
      <c r="D350" s="67"/>
      <c r="E350" s="55" t="s">
        <v>58</v>
      </c>
      <c r="F350" s="56" t="s">
        <v>59</v>
      </c>
      <c r="G350" s="56" t="s">
        <v>64</v>
      </c>
      <c r="H350" s="56" t="s">
        <v>128</v>
      </c>
      <c r="I350" s="57" t="s">
        <v>65</v>
      </c>
    </row>
    <row r="351" spans="1:9" ht="24" hidden="1" x14ac:dyDescent="0.25">
      <c r="A351" s="51">
        <v>369</v>
      </c>
      <c r="B351" s="53" t="s">
        <v>332</v>
      </c>
      <c r="C351" s="62" t="s">
        <v>256</v>
      </c>
      <c r="D351" s="67"/>
      <c r="E351" s="55" t="s">
        <v>58</v>
      </c>
      <c r="F351" s="56" t="s">
        <v>59</v>
      </c>
      <c r="G351" s="56" t="s">
        <v>64</v>
      </c>
      <c r="H351" s="56" t="s">
        <v>128</v>
      </c>
      <c r="I351" s="57" t="s">
        <v>65</v>
      </c>
    </row>
    <row r="352" spans="1:9" ht="24" hidden="1" x14ac:dyDescent="0.25">
      <c r="A352" s="51">
        <v>370</v>
      </c>
      <c r="B352" s="53" t="s">
        <v>333</v>
      </c>
      <c r="C352" s="62" t="s">
        <v>256</v>
      </c>
      <c r="D352" s="67"/>
      <c r="E352" s="55" t="s">
        <v>58</v>
      </c>
      <c r="F352" s="56" t="s">
        <v>59</v>
      </c>
      <c r="G352" s="56" t="s">
        <v>64</v>
      </c>
      <c r="H352" s="56" t="s">
        <v>128</v>
      </c>
      <c r="I352" s="57" t="s">
        <v>65</v>
      </c>
    </row>
    <row r="353" spans="1:9" ht="24" hidden="1" x14ac:dyDescent="0.25">
      <c r="A353" s="51">
        <v>371</v>
      </c>
      <c r="B353" s="53" t="s">
        <v>334</v>
      </c>
      <c r="C353" s="62" t="s">
        <v>256</v>
      </c>
      <c r="D353" s="67"/>
      <c r="E353" s="55" t="s">
        <v>58</v>
      </c>
      <c r="F353" s="56" t="s">
        <v>59</v>
      </c>
      <c r="G353" s="56" t="s">
        <v>64</v>
      </c>
      <c r="H353" s="56" t="s">
        <v>128</v>
      </c>
      <c r="I353" s="57" t="s">
        <v>65</v>
      </c>
    </row>
    <row r="354" spans="1:9" ht="24" hidden="1" x14ac:dyDescent="0.25">
      <c r="A354" s="51">
        <v>372</v>
      </c>
      <c r="B354" s="53" t="s">
        <v>335</v>
      </c>
      <c r="C354" s="62" t="s">
        <v>256</v>
      </c>
      <c r="D354" s="67"/>
      <c r="E354" s="55" t="s">
        <v>58</v>
      </c>
      <c r="F354" s="56" t="s">
        <v>59</v>
      </c>
      <c r="G354" s="56" t="s">
        <v>64</v>
      </c>
      <c r="H354" s="56" t="s">
        <v>128</v>
      </c>
      <c r="I354" s="57" t="s">
        <v>65</v>
      </c>
    </row>
    <row r="355" spans="1:9" ht="24" hidden="1" x14ac:dyDescent="0.25">
      <c r="A355" s="51">
        <v>373</v>
      </c>
      <c r="B355" s="53" t="s">
        <v>336</v>
      </c>
      <c r="C355" s="62" t="s">
        <v>256</v>
      </c>
      <c r="D355" s="67"/>
      <c r="E355" s="55" t="s">
        <v>58</v>
      </c>
      <c r="F355" s="56" t="s">
        <v>59</v>
      </c>
      <c r="G355" s="56" t="s">
        <v>64</v>
      </c>
      <c r="H355" s="56" t="s">
        <v>128</v>
      </c>
      <c r="I355" s="57" t="s">
        <v>65</v>
      </c>
    </row>
    <row r="356" spans="1:9" ht="24" hidden="1" x14ac:dyDescent="0.25">
      <c r="A356" s="51">
        <v>374</v>
      </c>
      <c r="B356" s="53" t="s">
        <v>337</v>
      </c>
      <c r="C356" s="62" t="s">
        <v>256</v>
      </c>
      <c r="D356" s="67"/>
      <c r="E356" s="55" t="s">
        <v>58</v>
      </c>
      <c r="F356" s="56" t="s">
        <v>59</v>
      </c>
      <c r="G356" s="56" t="s">
        <v>64</v>
      </c>
      <c r="H356" s="56" t="s">
        <v>128</v>
      </c>
      <c r="I356" s="57" t="s">
        <v>65</v>
      </c>
    </row>
    <row r="357" spans="1:9" ht="24" hidden="1" x14ac:dyDescent="0.25">
      <c r="A357" s="51">
        <v>375</v>
      </c>
      <c r="B357" s="53" t="s">
        <v>338</v>
      </c>
      <c r="C357" s="62" t="s">
        <v>256</v>
      </c>
      <c r="D357" s="67"/>
      <c r="E357" s="55" t="s">
        <v>58</v>
      </c>
      <c r="F357" s="56" t="s">
        <v>59</v>
      </c>
      <c r="G357" s="56" t="s">
        <v>64</v>
      </c>
      <c r="H357" s="56" t="s">
        <v>128</v>
      </c>
      <c r="I357" s="57" t="s">
        <v>65</v>
      </c>
    </row>
    <row r="358" spans="1:9" ht="24" hidden="1" x14ac:dyDescent="0.25">
      <c r="A358" s="51">
        <v>376</v>
      </c>
      <c r="B358" s="53" t="s">
        <v>339</v>
      </c>
      <c r="C358" s="62" t="s">
        <v>256</v>
      </c>
      <c r="D358" s="67"/>
      <c r="E358" s="55" t="s">
        <v>58</v>
      </c>
      <c r="F358" s="56" t="s">
        <v>59</v>
      </c>
      <c r="G358" s="56" t="s">
        <v>64</v>
      </c>
      <c r="H358" s="56" t="s">
        <v>128</v>
      </c>
      <c r="I358" s="57" t="s">
        <v>65</v>
      </c>
    </row>
    <row r="359" spans="1:9" ht="24" hidden="1" x14ac:dyDescent="0.25">
      <c r="A359" s="51">
        <v>377</v>
      </c>
      <c r="B359" s="53" t="s">
        <v>340</v>
      </c>
      <c r="C359" s="62" t="s">
        <v>256</v>
      </c>
      <c r="D359" s="67"/>
      <c r="E359" s="55" t="s">
        <v>58</v>
      </c>
      <c r="F359" s="56" t="s">
        <v>59</v>
      </c>
      <c r="G359" s="56" t="s">
        <v>64</v>
      </c>
      <c r="H359" s="56" t="s">
        <v>128</v>
      </c>
      <c r="I359" s="57" t="s">
        <v>65</v>
      </c>
    </row>
    <row r="360" spans="1:9" ht="24" hidden="1" x14ac:dyDescent="0.25">
      <c r="A360" s="51">
        <v>378</v>
      </c>
      <c r="B360" s="53" t="s">
        <v>341</v>
      </c>
      <c r="C360" s="62" t="s">
        <v>256</v>
      </c>
      <c r="D360" s="67"/>
      <c r="E360" s="55" t="s">
        <v>58</v>
      </c>
      <c r="F360" s="56" t="s">
        <v>59</v>
      </c>
      <c r="G360" s="56" t="s">
        <v>64</v>
      </c>
      <c r="H360" s="56" t="s">
        <v>128</v>
      </c>
      <c r="I360" s="57" t="s">
        <v>65</v>
      </c>
    </row>
    <row r="361" spans="1:9" ht="24" hidden="1" x14ac:dyDescent="0.25">
      <c r="A361" s="51">
        <v>379</v>
      </c>
      <c r="B361" s="53" t="s">
        <v>284</v>
      </c>
      <c r="C361" s="53" t="s">
        <v>250</v>
      </c>
      <c r="D361" s="67"/>
      <c r="E361" s="55" t="s">
        <v>58</v>
      </c>
      <c r="F361" s="56" t="s">
        <v>59</v>
      </c>
      <c r="G361" s="56" t="s">
        <v>64</v>
      </c>
      <c r="H361" s="56" t="s">
        <v>128</v>
      </c>
      <c r="I361" s="57" t="s">
        <v>65</v>
      </c>
    </row>
    <row r="362" spans="1:9" ht="24" hidden="1" x14ac:dyDescent="0.25">
      <c r="A362" s="51">
        <v>380</v>
      </c>
      <c r="B362" s="53" t="s">
        <v>342</v>
      </c>
      <c r="C362" s="62" t="s">
        <v>241</v>
      </c>
      <c r="D362" s="67"/>
      <c r="E362" s="55" t="s">
        <v>58</v>
      </c>
      <c r="F362" s="56" t="s">
        <v>59</v>
      </c>
      <c r="G362" s="56" t="s">
        <v>64</v>
      </c>
      <c r="H362" s="56" t="s">
        <v>128</v>
      </c>
      <c r="I362" s="57" t="s">
        <v>65</v>
      </c>
    </row>
    <row r="363" spans="1:9" ht="24" hidden="1" x14ac:dyDescent="0.25">
      <c r="A363" s="51">
        <v>381</v>
      </c>
      <c r="B363" s="53" t="s">
        <v>343</v>
      </c>
      <c r="C363" s="62" t="s">
        <v>298</v>
      </c>
      <c r="D363" s="67"/>
      <c r="E363" s="55" t="s">
        <v>58</v>
      </c>
      <c r="F363" s="56" t="s">
        <v>59</v>
      </c>
      <c r="G363" s="56" t="s">
        <v>64</v>
      </c>
      <c r="H363" s="56" t="s">
        <v>128</v>
      </c>
      <c r="I363" s="57" t="s">
        <v>65</v>
      </c>
    </row>
    <row r="364" spans="1:9" ht="24" hidden="1" x14ac:dyDescent="0.25">
      <c r="A364" s="51">
        <v>382</v>
      </c>
      <c r="B364" s="53" t="s">
        <v>344</v>
      </c>
      <c r="C364" s="62" t="s">
        <v>298</v>
      </c>
      <c r="D364" s="67"/>
      <c r="E364" s="55" t="s">
        <v>58</v>
      </c>
      <c r="F364" s="56" t="s">
        <v>59</v>
      </c>
      <c r="G364" s="56" t="s">
        <v>64</v>
      </c>
      <c r="H364" s="56" t="s">
        <v>128</v>
      </c>
      <c r="I364" s="57" t="s">
        <v>65</v>
      </c>
    </row>
    <row r="365" spans="1:9" ht="24" hidden="1" x14ac:dyDescent="0.25">
      <c r="A365" s="51">
        <v>383</v>
      </c>
      <c r="B365" s="53" t="s">
        <v>285</v>
      </c>
      <c r="C365" s="62" t="s">
        <v>302</v>
      </c>
      <c r="D365" s="67"/>
      <c r="E365" s="55" t="s">
        <v>58</v>
      </c>
      <c r="F365" s="56" t="s">
        <v>59</v>
      </c>
      <c r="G365" s="56" t="s">
        <v>64</v>
      </c>
      <c r="H365" s="56" t="s">
        <v>128</v>
      </c>
      <c r="I365" s="57" t="s">
        <v>65</v>
      </c>
    </row>
    <row r="366" spans="1:9" ht="24" hidden="1" x14ac:dyDescent="0.25">
      <c r="A366" s="51">
        <v>384</v>
      </c>
      <c r="B366" s="53" t="s">
        <v>345</v>
      </c>
      <c r="C366" s="62" t="s">
        <v>297</v>
      </c>
      <c r="D366" s="67"/>
      <c r="E366" s="55" t="s">
        <v>58</v>
      </c>
      <c r="F366" s="56" t="s">
        <v>59</v>
      </c>
      <c r="G366" s="56" t="s">
        <v>64</v>
      </c>
      <c r="H366" s="56" t="s">
        <v>128</v>
      </c>
      <c r="I366" s="57" t="s">
        <v>65</v>
      </c>
    </row>
    <row r="367" spans="1:9" ht="24" hidden="1" x14ac:dyDescent="0.25">
      <c r="A367" s="51">
        <v>385</v>
      </c>
      <c r="B367" s="53" t="s">
        <v>345</v>
      </c>
      <c r="C367" s="62" t="s">
        <v>297</v>
      </c>
      <c r="D367" s="67"/>
      <c r="E367" s="55" t="s">
        <v>58</v>
      </c>
      <c r="F367" s="56" t="s">
        <v>59</v>
      </c>
      <c r="G367" s="56" t="s">
        <v>64</v>
      </c>
      <c r="H367" s="56" t="s">
        <v>128</v>
      </c>
      <c r="I367" s="57" t="s">
        <v>65</v>
      </c>
    </row>
    <row r="368" spans="1:9" ht="24" hidden="1" x14ac:dyDescent="0.25">
      <c r="A368" s="51">
        <v>386</v>
      </c>
      <c r="B368" s="53" t="s">
        <v>346</v>
      </c>
      <c r="C368" s="62" t="s">
        <v>231</v>
      </c>
      <c r="D368" s="67"/>
      <c r="E368" s="55" t="s">
        <v>58</v>
      </c>
      <c r="F368" s="56" t="s">
        <v>59</v>
      </c>
      <c r="G368" s="56" t="s">
        <v>64</v>
      </c>
      <c r="H368" s="56" t="s">
        <v>128</v>
      </c>
      <c r="I368" s="57" t="s">
        <v>65</v>
      </c>
    </row>
    <row r="369" spans="1:9" ht="24" hidden="1" x14ac:dyDescent="0.25">
      <c r="A369" s="51">
        <v>387</v>
      </c>
      <c r="B369" s="53" t="s">
        <v>347</v>
      </c>
      <c r="C369" s="62" t="s">
        <v>231</v>
      </c>
      <c r="D369" s="67"/>
      <c r="E369" s="55" t="s">
        <v>58</v>
      </c>
      <c r="F369" s="56" t="s">
        <v>59</v>
      </c>
      <c r="G369" s="56" t="s">
        <v>64</v>
      </c>
      <c r="H369" s="56" t="s">
        <v>128</v>
      </c>
      <c r="I369" s="57" t="s">
        <v>65</v>
      </c>
    </row>
    <row r="370" spans="1:9" ht="24" hidden="1" x14ac:dyDescent="0.25">
      <c r="A370" s="51">
        <v>388</v>
      </c>
      <c r="B370" s="53" t="s">
        <v>347</v>
      </c>
      <c r="C370" s="62" t="s">
        <v>231</v>
      </c>
      <c r="D370" s="67"/>
      <c r="E370" s="55" t="s">
        <v>58</v>
      </c>
      <c r="F370" s="56" t="s">
        <v>59</v>
      </c>
      <c r="G370" s="56" t="s">
        <v>64</v>
      </c>
      <c r="H370" s="56" t="s">
        <v>128</v>
      </c>
      <c r="I370" s="57" t="s">
        <v>65</v>
      </c>
    </row>
    <row r="371" spans="1:9" ht="24" hidden="1" x14ac:dyDescent="0.25">
      <c r="A371" s="51">
        <v>389</v>
      </c>
      <c r="B371" s="53" t="s">
        <v>348</v>
      </c>
      <c r="C371" s="62" t="s">
        <v>290</v>
      </c>
      <c r="D371" s="67"/>
      <c r="E371" s="55" t="s">
        <v>58</v>
      </c>
      <c r="F371" s="56" t="s">
        <v>59</v>
      </c>
      <c r="G371" s="56" t="s">
        <v>64</v>
      </c>
      <c r="H371" s="56" t="s">
        <v>128</v>
      </c>
      <c r="I371" s="57" t="s">
        <v>65</v>
      </c>
    </row>
    <row r="372" spans="1:9" ht="24" hidden="1" x14ac:dyDescent="0.25">
      <c r="A372" s="51">
        <v>390</v>
      </c>
      <c r="B372" s="53" t="s">
        <v>349</v>
      </c>
      <c r="C372" s="62" t="s">
        <v>241</v>
      </c>
      <c r="D372" s="67"/>
      <c r="E372" s="55" t="s">
        <v>58</v>
      </c>
      <c r="F372" s="56" t="s">
        <v>59</v>
      </c>
      <c r="G372" s="56" t="s">
        <v>64</v>
      </c>
      <c r="H372" s="56" t="s">
        <v>128</v>
      </c>
      <c r="I372" s="57" t="s">
        <v>65</v>
      </c>
    </row>
    <row r="373" spans="1:9" ht="24" hidden="1" x14ac:dyDescent="0.25">
      <c r="A373" s="51">
        <v>391</v>
      </c>
      <c r="B373" s="53" t="s">
        <v>350</v>
      </c>
      <c r="C373" s="62" t="s">
        <v>240</v>
      </c>
      <c r="D373" s="67"/>
      <c r="E373" s="55" t="s">
        <v>58</v>
      </c>
      <c r="F373" s="56" t="s">
        <v>59</v>
      </c>
      <c r="G373" s="56" t="s">
        <v>64</v>
      </c>
      <c r="H373" s="56" t="s">
        <v>128</v>
      </c>
      <c r="I373" s="57" t="s">
        <v>65</v>
      </c>
    </row>
    <row r="374" spans="1:9" ht="24" hidden="1" x14ac:dyDescent="0.25">
      <c r="A374" s="51">
        <v>392</v>
      </c>
      <c r="B374" s="53" t="s">
        <v>351</v>
      </c>
      <c r="C374" s="62" t="s">
        <v>241</v>
      </c>
      <c r="D374" s="67"/>
      <c r="E374" s="55" t="s">
        <v>58</v>
      </c>
      <c r="F374" s="56" t="s">
        <v>59</v>
      </c>
      <c r="G374" s="56" t="s">
        <v>64</v>
      </c>
      <c r="H374" s="56" t="s">
        <v>128</v>
      </c>
      <c r="I374" s="57" t="s">
        <v>65</v>
      </c>
    </row>
    <row r="375" spans="1:9" ht="24" hidden="1" x14ac:dyDescent="0.25">
      <c r="A375" s="51">
        <v>393</v>
      </c>
      <c r="B375" s="53" t="s">
        <v>351</v>
      </c>
      <c r="C375" s="62" t="s">
        <v>241</v>
      </c>
      <c r="D375" s="67"/>
      <c r="E375" s="55" t="s">
        <v>58</v>
      </c>
      <c r="F375" s="56" t="s">
        <v>59</v>
      </c>
      <c r="G375" s="56" t="s">
        <v>64</v>
      </c>
      <c r="H375" s="56" t="s">
        <v>128</v>
      </c>
      <c r="I375" s="57" t="s">
        <v>65</v>
      </c>
    </row>
    <row r="376" spans="1:9" ht="24" hidden="1" x14ac:dyDescent="0.25">
      <c r="A376" s="51">
        <v>394</v>
      </c>
      <c r="B376" s="53" t="s">
        <v>272</v>
      </c>
      <c r="C376" s="62" t="s">
        <v>290</v>
      </c>
      <c r="D376" s="67"/>
      <c r="E376" s="55" t="s">
        <v>58</v>
      </c>
      <c r="F376" s="56" t="s">
        <v>59</v>
      </c>
      <c r="G376" s="56" t="s">
        <v>64</v>
      </c>
      <c r="H376" s="56" t="s">
        <v>128</v>
      </c>
      <c r="I376" s="57" t="s">
        <v>65</v>
      </c>
    </row>
    <row r="377" spans="1:9" ht="24" hidden="1" x14ac:dyDescent="0.25">
      <c r="A377" s="51">
        <v>395</v>
      </c>
      <c r="B377" s="53" t="s">
        <v>352</v>
      </c>
      <c r="C377" s="62" t="s">
        <v>384</v>
      </c>
      <c r="D377" s="67"/>
      <c r="E377" s="55" t="s">
        <v>58</v>
      </c>
      <c r="F377" s="56" t="s">
        <v>59</v>
      </c>
      <c r="G377" s="56" t="s">
        <v>64</v>
      </c>
      <c r="H377" s="56" t="s">
        <v>128</v>
      </c>
      <c r="I377" s="57" t="s">
        <v>65</v>
      </c>
    </row>
    <row r="378" spans="1:9" ht="24" hidden="1" x14ac:dyDescent="0.25">
      <c r="A378" s="51">
        <v>396</v>
      </c>
      <c r="B378" s="53" t="s">
        <v>353</v>
      </c>
      <c r="C378" s="53" t="s">
        <v>254</v>
      </c>
      <c r="D378" s="67"/>
      <c r="E378" s="55" t="s">
        <v>58</v>
      </c>
      <c r="F378" s="56" t="s">
        <v>59</v>
      </c>
      <c r="G378" s="56" t="s">
        <v>64</v>
      </c>
      <c r="H378" s="56" t="s">
        <v>128</v>
      </c>
      <c r="I378" s="57" t="s">
        <v>65</v>
      </c>
    </row>
    <row r="379" spans="1:9" ht="24" hidden="1" x14ac:dyDescent="0.25">
      <c r="A379" s="51">
        <v>397</v>
      </c>
      <c r="B379" s="53" t="s">
        <v>354</v>
      </c>
      <c r="C379" s="62" t="s">
        <v>293</v>
      </c>
      <c r="D379" s="67"/>
      <c r="E379" s="55" t="s">
        <v>58</v>
      </c>
      <c r="F379" s="56" t="s">
        <v>59</v>
      </c>
      <c r="G379" s="56" t="s">
        <v>64</v>
      </c>
      <c r="H379" s="56" t="s">
        <v>128</v>
      </c>
      <c r="I379" s="57" t="s">
        <v>65</v>
      </c>
    </row>
    <row r="380" spans="1:9" ht="24" hidden="1" x14ac:dyDescent="0.25">
      <c r="A380" s="51">
        <v>398</v>
      </c>
      <c r="B380" s="53" t="s">
        <v>355</v>
      </c>
      <c r="C380" s="62" t="s">
        <v>293</v>
      </c>
      <c r="D380" s="67"/>
      <c r="E380" s="55" t="s">
        <v>58</v>
      </c>
      <c r="F380" s="56" t="s">
        <v>59</v>
      </c>
      <c r="G380" s="56" t="s">
        <v>64</v>
      </c>
      <c r="H380" s="56" t="s">
        <v>128</v>
      </c>
      <c r="I380" s="57" t="s">
        <v>65</v>
      </c>
    </row>
    <row r="381" spans="1:9" ht="24" hidden="1" x14ac:dyDescent="0.25">
      <c r="A381" s="51">
        <v>399</v>
      </c>
      <c r="B381" s="53" t="s">
        <v>356</v>
      </c>
      <c r="C381" s="62" t="s">
        <v>231</v>
      </c>
      <c r="D381" s="67"/>
      <c r="E381" s="55" t="s">
        <v>58</v>
      </c>
      <c r="F381" s="56" t="s">
        <v>59</v>
      </c>
      <c r="G381" s="56" t="s">
        <v>64</v>
      </c>
      <c r="H381" s="56" t="s">
        <v>128</v>
      </c>
      <c r="I381" s="57" t="s">
        <v>65</v>
      </c>
    </row>
    <row r="382" spans="1:9" ht="24" hidden="1" x14ac:dyDescent="0.25">
      <c r="A382" s="51">
        <v>400</v>
      </c>
      <c r="B382" s="53" t="s">
        <v>357</v>
      </c>
      <c r="C382" s="62" t="s">
        <v>231</v>
      </c>
      <c r="D382" s="67"/>
      <c r="E382" s="55" t="s">
        <v>58</v>
      </c>
      <c r="F382" s="56" t="s">
        <v>59</v>
      </c>
      <c r="G382" s="56" t="s">
        <v>64</v>
      </c>
      <c r="H382" s="56" t="s">
        <v>128</v>
      </c>
      <c r="I382" s="57" t="s">
        <v>65</v>
      </c>
    </row>
    <row r="383" spans="1:9" ht="24" hidden="1" x14ac:dyDescent="0.25">
      <c r="A383" s="51">
        <v>401</v>
      </c>
      <c r="B383" s="53" t="s">
        <v>358</v>
      </c>
      <c r="C383" s="62" t="s">
        <v>231</v>
      </c>
      <c r="D383" s="67"/>
      <c r="E383" s="55" t="s">
        <v>58</v>
      </c>
      <c r="F383" s="56" t="s">
        <v>59</v>
      </c>
      <c r="G383" s="56" t="s">
        <v>64</v>
      </c>
      <c r="H383" s="56" t="s">
        <v>128</v>
      </c>
      <c r="I383" s="57" t="s">
        <v>65</v>
      </c>
    </row>
    <row r="384" spans="1:9" ht="24" hidden="1" x14ac:dyDescent="0.25">
      <c r="A384" s="51">
        <v>402</v>
      </c>
      <c r="B384" s="53" t="s">
        <v>359</v>
      </c>
      <c r="C384" s="62" t="s">
        <v>231</v>
      </c>
      <c r="D384" s="67"/>
      <c r="E384" s="55" t="s">
        <v>58</v>
      </c>
      <c r="F384" s="56" t="s">
        <v>59</v>
      </c>
      <c r="G384" s="56" t="s">
        <v>64</v>
      </c>
      <c r="H384" s="56" t="s">
        <v>128</v>
      </c>
      <c r="I384" s="57" t="s">
        <v>65</v>
      </c>
    </row>
    <row r="385" spans="1:9" ht="24" hidden="1" x14ac:dyDescent="0.25">
      <c r="A385" s="51">
        <v>403</v>
      </c>
      <c r="B385" s="53" t="s">
        <v>360</v>
      </c>
      <c r="C385" s="62" t="s">
        <v>224</v>
      </c>
      <c r="D385" s="67"/>
      <c r="E385" s="55" t="s">
        <v>58</v>
      </c>
      <c r="F385" s="56" t="s">
        <v>59</v>
      </c>
      <c r="G385" s="56" t="s">
        <v>64</v>
      </c>
      <c r="H385" s="56" t="s">
        <v>128</v>
      </c>
      <c r="I385" s="57" t="s">
        <v>65</v>
      </c>
    </row>
    <row r="386" spans="1:9" ht="24" hidden="1" x14ac:dyDescent="0.25">
      <c r="A386" s="51">
        <v>404</v>
      </c>
      <c r="B386" s="53" t="s">
        <v>273</v>
      </c>
      <c r="C386" s="53" t="s">
        <v>251</v>
      </c>
      <c r="D386" s="67"/>
      <c r="E386" s="55" t="s">
        <v>58</v>
      </c>
      <c r="F386" s="56" t="s">
        <v>59</v>
      </c>
      <c r="G386" s="56" t="s">
        <v>64</v>
      </c>
      <c r="H386" s="56" t="s">
        <v>128</v>
      </c>
      <c r="I386" s="57" t="s">
        <v>65</v>
      </c>
    </row>
    <row r="387" spans="1:9" ht="24" hidden="1" x14ac:dyDescent="0.25">
      <c r="A387" s="51">
        <v>405</v>
      </c>
      <c r="B387" s="53" t="s">
        <v>273</v>
      </c>
      <c r="C387" s="53" t="s">
        <v>251</v>
      </c>
      <c r="D387" s="67"/>
      <c r="E387" s="55" t="s">
        <v>58</v>
      </c>
      <c r="F387" s="56" t="s">
        <v>59</v>
      </c>
      <c r="G387" s="56" t="s">
        <v>64</v>
      </c>
      <c r="H387" s="56" t="s">
        <v>128</v>
      </c>
      <c r="I387" s="57" t="s">
        <v>65</v>
      </c>
    </row>
    <row r="388" spans="1:9" ht="24" hidden="1" x14ac:dyDescent="0.25">
      <c r="A388" s="51">
        <v>406</v>
      </c>
      <c r="B388" s="53" t="s">
        <v>274</v>
      </c>
      <c r="C388" s="53" t="s">
        <v>251</v>
      </c>
      <c r="D388" s="67"/>
      <c r="E388" s="55" t="s">
        <v>58</v>
      </c>
      <c r="F388" s="56" t="s">
        <v>59</v>
      </c>
      <c r="G388" s="56" t="s">
        <v>64</v>
      </c>
      <c r="H388" s="56" t="s">
        <v>128</v>
      </c>
      <c r="I388" s="57" t="s">
        <v>65</v>
      </c>
    </row>
    <row r="389" spans="1:9" ht="24" hidden="1" x14ac:dyDescent="0.25">
      <c r="A389" s="51">
        <v>407</v>
      </c>
      <c r="B389" s="53" t="s">
        <v>361</v>
      </c>
      <c r="C389" s="53" t="s">
        <v>251</v>
      </c>
      <c r="D389" s="67"/>
      <c r="E389" s="55" t="s">
        <v>58</v>
      </c>
      <c r="F389" s="56" t="s">
        <v>59</v>
      </c>
      <c r="G389" s="56" t="s">
        <v>64</v>
      </c>
      <c r="H389" s="56" t="s">
        <v>128</v>
      </c>
      <c r="I389" s="57" t="s">
        <v>65</v>
      </c>
    </row>
    <row r="390" spans="1:9" ht="24" hidden="1" x14ac:dyDescent="0.25">
      <c r="A390" s="51">
        <v>408</v>
      </c>
      <c r="B390" s="53" t="s">
        <v>362</v>
      </c>
      <c r="C390" s="86" t="s">
        <v>308</v>
      </c>
      <c r="D390" s="67"/>
      <c r="E390" s="55" t="s">
        <v>58</v>
      </c>
      <c r="F390" s="56" t="s">
        <v>59</v>
      </c>
      <c r="G390" s="56" t="s">
        <v>64</v>
      </c>
      <c r="H390" s="56" t="s">
        <v>128</v>
      </c>
      <c r="I390" s="57" t="s">
        <v>65</v>
      </c>
    </row>
    <row r="391" spans="1:9" ht="24" hidden="1" x14ac:dyDescent="0.25">
      <c r="A391" s="51">
        <v>409</v>
      </c>
      <c r="B391" s="53" t="s">
        <v>363</v>
      </c>
      <c r="C391" s="62" t="s">
        <v>383</v>
      </c>
      <c r="D391" s="67"/>
      <c r="E391" s="55" t="s">
        <v>58</v>
      </c>
      <c r="F391" s="56" t="s">
        <v>59</v>
      </c>
      <c r="G391" s="56" t="s">
        <v>64</v>
      </c>
      <c r="H391" s="56" t="s">
        <v>128</v>
      </c>
      <c r="I391" s="57" t="s">
        <v>65</v>
      </c>
    </row>
    <row r="392" spans="1:9" ht="24" hidden="1" x14ac:dyDescent="0.25">
      <c r="A392" s="51">
        <v>410</v>
      </c>
      <c r="B392" s="53" t="s">
        <v>275</v>
      </c>
      <c r="C392" s="62" t="s">
        <v>290</v>
      </c>
      <c r="D392" s="67"/>
      <c r="E392" s="55" t="s">
        <v>58</v>
      </c>
      <c r="F392" s="56" t="s">
        <v>59</v>
      </c>
      <c r="G392" s="56" t="s">
        <v>64</v>
      </c>
      <c r="H392" s="56" t="s">
        <v>128</v>
      </c>
      <c r="I392" s="57" t="s">
        <v>65</v>
      </c>
    </row>
    <row r="393" spans="1:9" ht="24" hidden="1" x14ac:dyDescent="0.25">
      <c r="A393" s="51">
        <v>411</v>
      </c>
      <c r="B393" s="53" t="s">
        <v>364</v>
      </c>
      <c r="C393" s="62" t="s">
        <v>300</v>
      </c>
      <c r="D393" s="67"/>
      <c r="E393" s="55" t="s">
        <v>58</v>
      </c>
      <c r="F393" s="56" t="s">
        <v>59</v>
      </c>
      <c r="G393" s="56" t="s">
        <v>64</v>
      </c>
      <c r="H393" s="56" t="s">
        <v>128</v>
      </c>
      <c r="I393" s="57" t="s">
        <v>65</v>
      </c>
    </row>
    <row r="394" spans="1:9" ht="24" hidden="1" x14ac:dyDescent="0.25">
      <c r="A394" s="51">
        <v>412</v>
      </c>
      <c r="B394" s="53" t="s">
        <v>365</v>
      </c>
      <c r="C394" s="53" t="s">
        <v>253</v>
      </c>
      <c r="D394" s="67"/>
      <c r="E394" s="55" t="s">
        <v>58</v>
      </c>
      <c r="F394" s="56" t="s">
        <v>59</v>
      </c>
      <c r="G394" s="56" t="s">
        <v>64</v>
      </c>
      <c r="H394" s="56" t="s">
        <v>128</v>
      </c>
      <c r="I394" s="57" t="s">
        <v>65</v>
      </c>
    </row>
    <row r="395" spans="1:9" ht="24" hidden="1" x14ac:dyDescent="0.25">
      <c r="A395" s="51">
        <v>413</v>
      </c>
      <c r="B395" s="53" t="s">
        <v>365</v>
      </c>
      <c r="C395" s="53" t="s">
        <v>253</v>
      </c>
      <c r="D395" s="67"/>
      <c r="E395" s="55" t="s">
        <v>58</v>
      </c>
      <c r="F395" s="56" t="s">
        <v>59</v>
      </c>
      <c r="G395" s="56" t="s">
        <v>64</v>
      </c>
      <c r="H395" s="56" t="s">
        <v>128</v>
      </c>
      <c r="I395" s="57" t="s">
        <v>65</v>
      </c>
    </row>
    <row r="396" spans="1:9" ht="24" hidden="1" x14ac:dyDescent="0.25">
      <c r="A396" s="51">
        <v>414</v>
      </c>
      <c r="B396" s="53" t="s">
        <v>366</v>
      </c>
      <c r="C396" s="62" t="s">
        <v>294</v>
      </c>
      <c r="D396" s="67"/>
      <c r="E396" s="55" t="s">
        <v>58</v>
      </c>
      <c r="F396" s="56" t="s">
        <v>59</v>
      </c>
      <c r="G396" s="56" t="s">
        <v>64</v>
      </c>
      <c r="H396" s="56" t="s">
        <v>128</v>
      </c>
      <c r="I396" s="57" t="s">
        <v>65</v>
      </c>
    </row>
    <row r="397" spans="1:9" ht="24" hidden="1" x14ac:dyDescent="0.25">
      <c r="A397" s="51">
        <v>415</v>
      </c>
      <c r="B397" s="53" t="s">
        <v>366</v>
      </c>
      <c r="C397" s="62" t="s">
        <v>294</v>
      </c>
      <c r="D397" s="67"/>
      <c r="E397" s="55" t="s">
        <v>58</v>
      </c>
      <c r="F397" s="56" t="s">
        <v>59</v>
      </c>
      <c r="G397" s="56" t="s">
        <v>64</v>
      </c>
      <c r="H397" s="56" t="s">
        <v>128</v>
      </c>
      <c r="I397" s="57" t="s">
        <v>65</v>
      </c>
    </row>
    <row r="398" spans="1:9" ht="24" hidden="1" x14ac:dyDescent="0.25">
      <c r="A398" s="51">
        <v>416</v>
      </c>
      <c r="B398" s="53" t="s">
        <v>367</v>
      </c>
      <c r="C398" s="62" t="s">
        <v>294</v>
      </c>
      <c r="D398" s="67"/>
      <c r="E398" s="55" t="s">
        <v>58</v>
      </c>
      <c r="F398" s="56" t="s">
        <v>59</v>
      </c>
      <c r="G398" s="56" t="s">
        <v>64</v>
      </c>
      <c r="H398" s="56" t="s">
        <v>128</v>
      </c>
      <c r="I398" s="57" t="s">
        <v>65</v>
      </c>
    </row>
    <row r="399" spans="1:9" ht="24" hidden="1" x14ac:dyDescent="0.25">
      <c r="A399" s="51">
        <v>417</v>
      </c>
      <c r="B399" s="53" t="s">
        <v>270</v>
      </c>
      <c r="C399" s="62" t="s">
        <v>288</v>
      </c>
      <c r="D399" s="67"/>
      <c r="E399" s="55" t="s">
        <v>58</v>
      </c>
      <c r="F399" s="56" t="s">
        <v>59</v>
      </c>
      <c r="G399" s="56" t="s">
        <v>64</v>
      </c>
      <c r="H399" s="56" t="s">
        <v>128</v>
      </c>
      <c r="I399" s="57" t="s">
        <v>65</v>
      </c>
    </row>
    <row r="400" spans="1:9" ht="24" hidden="1" x14ac:dyDescent="0.25">
      <c r="A400" s="51">
        <v>418</v>
      </c>
      <c r="B400" s="53" t="s">
        <v>270</v>
      </c>
      <c r="C400" s="62" t="s">
        <v>288</v>
      </c>
      <c r="D400" s="67"/>
      <c r="E400" s="55" t="s">
        <v>58</v>
      </c>
      <c r="F400" s="56" t="s">
        <v>59</v>
      </c>
      <c r="G400" s="56" t="s">
        <v>64</v>
      </c>
      <c r="H400" s="56" t="s">
        <v>128</v>
      </c>
      <c r="I400" s="57" t="s">
        <v>65</v>
      </c>
    </row>
    <row r="401" spans="1:9" ht="24" hidden="1" x14ac:dyDescent="0.25">
      <c r="A401" s="51">
        <v>419</v>
      </c>
      <c r="B401" s="53" t="s">
        <v>270</v>
      </c>
      <c r="C401" s="62" t="s">
        <v>288</v>
      </c>
      <c r="D401" s="67"/>
      <c r="E401" s="55" t="s">
        <v>58</v>
      </c>
      <c r="F401" s="56" t="s">
        <v>59</v>
      </c>
      <c r="G401" s="56" t="s">
        <v>64</v>
      </c>
      <c r="H401" s="56" t="s">
        <v>128</v>
      </c>
      <c r="I401" s="57" t="s">
        <v>65</v>
      </c>
    </row>
    <row r="402" spans="1:9" ht="24" hidden="1" x14ac:dyDescent="0.25">
      <c r="A402" s="51">
        <v>420</v>
      </c>
      <c r="B402" s="53" t="s">
        <v>388</v>
      </c>
      <c r="C402" s="53" t="s">
        <v>252</v>
      </c>
      <c r="D402" s="67"/>
      <c r="E402" s="55" t="s">
        <v>58</v>
      </c>
      <c r="F402" s="56" t="s">
        <v>59</v>
      </c>
      <c r="G402" s="56" t="s">
        <v>64</v>
      </c>
      <c r="H402" s="56" t="s">
        <v>128</v>
      </c>
      <c r="I402" s="57" t="s">
        <v>65</v>
      </c>
    </row>
    <row r="403" spans="1:9" ht="24" hidden="1" x14ac:dyDescent="0.25">
      <c r="A403" s="51">
        <v>421</v>
      </c>
      <c r="B403" s="53" t="s">
        <v>368</v>
      </c>
      <c r="C403" s="86" t="s">
        <v>308</v>
      </c>
      <c r="D403" s="67"/>
      <c r="E403" s="55" t="s">
        <v>58</v>
      </c>
      <c r="F403" s="56" t="s">
        <v>59</v>
      </c>
      <c r="G403" s="56" t="s">
        <v>64</v>
      </c>
      <c r="H403" s="56" t="s">
        <v>128</v>
      </c>
      <c r="I403" s="57" t="s">
        <v>65</v>
      </c>
    </row>
    <row r="404" spans="1:9" ht="24" hidden="1" x14ac:dyDescent="0.25">
      <c r="A404" s="51">
        <v>422</v>
      </c>
      <c r="B404" s="53" t="s">
        <v>368</v>
      </c>
      <c r="C404" s="86" t="s">
        <v>308</v>
      </c>
      <c r="D404" s="67"/>
      <c r="E404" s="55" t="s">
        <v>58</v>
      </c>
      <c r="F404" s="56" t="s">
        <v>59</v>
      </c>
      <c r="G404" s="56" t="s">
        <v>64</v>
      </c>
      <c r="H404" s="56" t="s">
        <v>128</v>
      </c>
      <c r="I404" s="57" t="s">
        <v>65</v>
      </c>
    </row>
    <row r="405" spans="1:9" ht="24" hidden="1" x14ac:dyDescent="0.25">
      <c r="A405" s="51">
        <v>423</v>
      </c>
      <c r="B405" s="53" t="s">
        <v>369</v>
      </c>
      <c r="C405" s="62" t="s">
        <v>303</v>
      </c>
      <c r="D405" s="67"/>
      <c r="E405" s="55" t="s">
        <v>58</v>
      </c>
      <c r="F405" s="56" t="s">
        <v>59</v>
      </c>
      <c r="G405" s="56" t="s">
        <v>64</v>
      </c>
      <c r="H405" s="56" t="s">
        <v>128</v>
      </c>
      <c r="I405" s="57" t="s">
        <v>65</v>
      </c>
    </row>
    <row r="406" spans="1:9" ht="24" hidden="1" x14ac:dyDescent="0.25">
      <c r="A406" s="51">
        <v>424</v>
      </c>
      <c r="B406" s="53" t="s">
        <v>370</v>
      </c>
      <c r="C406" s="62" t="s">
        <v>292</v>
      </c>
      <c r="D406" s="67"/>
      <c r="E406" s="55" t="s">
        <v>58</v>
      </c>
      <c r="F406" s="56" t="s">
        <v>59</v>
      </c>
      <c r="G406" s="56" t="s">
        <v>64</v>
      </c>
      <c r="H406" s="56" t="s">
        <v>128</v>
      </c>
      <c r="I406" s="57" t="s">
        <v>65</v>
      </c>
    </row>
    <row r="407" spans="1:9" ht="24" hidden="1" x14ac:dyDescent="0.25">
      <c r="A407" s="51">
        <v>425</v>
      </c>
      <c r="B407" s="53" t="s">
        <v>277</v>
      </c>
      <c r="C407" s="62" t="s">
        <v>292</v>
      </c>
      <c r="D407" s="67"/>
      <c r="E407" s="55" t="s">
        <v>58</v>
      </c>
      <c r="F407" s="56" t="s">
        <v>59</v>
      </c>
      <c r="G407" s="56" t="s">
        <v>64</v>
      </c>
      <c r="H407" s="56" t="s">
        <v>128</v>
      </c>
      <c r="I407" s="57" t="s">
        <v>65</v>
      </c>
    </row>
    <row r="408" spans="1:9" ht="24" hidden="1" x14ac:dyDescent="0.25">
      <c r="A408" s="51">
        <v>426</v>
      </c>
      <c r="B408" s="53" t="s">
        <v>371</v>
      </c>
      <c r="C408" s="62" t="s">
        <v>292</v>
      </c>
      <c r="D408" s="67"/>
      <c r="E408" s="55" t="s">
        <v>58</v>
      </c>
      <c r="F408" s="56" t="s">
        <v>59</v>
      </c>
      <c r="G408" s="56" t="s">
        <v>64</v>
      </c>
      <c r="H408" s="56" t="s">
        <v>128</v>
      </c>
      <c r="I408" s="57" t="s">
        <v>65</v>
      </c>
    </row>
    <row r="409" spans="1:9" ht="24" hidden="1" x14ac:dyDescent="0.25">
      <c r="A409" s="51">
        <v>427</v>
      </c>
      <c r="B409" s="53" t="s">
        <v>372</v>
      </c>
      <c r="C409" s="62" t="s">
        <v>237</v>
      </c>
      <c r="D409" s="67"/>
      <c r="E409" s="55" t="s">
        <v>58</v>
      </c>
      <c r="F409" s="56" t="s">
        <v>59</v>
      </c>
      <c r="G409" s="56" t="s">
        <v>64</v>
      </c>
      <c r="H409" s="56" t="s">
        <v>128</v>
      </c>
      <c r="I409" s="57" t="s">
        <v>65</v>
      </c>
    </row>
    <row r="410" spans="1:9" ht="24" hidden="1" x14ac:dyDescent="0.25">
      <c r="A410" s="51">
        <v>428</v>
      </c>
      <c r="B410" s="53" t="s">
        <v>286</v>
      </c>
      <c r="C410" s="62" t="s">
        <v>237</v>
      </c>
      <c r="D410" s="67"/>
      <c r="E410" s="55" t="s">
        <v>58</v>
      </c>
      <c r="F410" s="56" t="s">
        <v>59</v>
      </c>
      <c r="G410" s="56" t="s">
        <v>64</v>
      </c>
      <c r="H410" s="56" t="s">
        <v>128</v>
      </c>
      <c r="I410" s="57" t="s">
        <v>65</v>
      </c>
    </row>
    <row r="411" spans="1:9" ht="24" hidden="1" x14ac:dyDescent="0.25">
      <c r="A411" s="51">
        <v>429</v>
      </c>
      <c r="B411" s="53" t="s">
        <v>286</v>
      </c>
      <c r="C411" s="62" t="s">
        <v>237</v>
      </c>
      <c r="D411" s="67"/>
      <c r="E411" s="55" t="s">
        <v>58</v>
      </c>
      <c r="F411" s="56" t="s">
        <v>59</v>
      </c>
      <c r="G411" s="56" t="s">
        <v>64</v>
      </c>
      <c r="H411" s="56" t="s">
        <v>128</v>
      </c>
      <c r="I411" s="57" t="s">
        <v>65</v>
      </c>
    </row>
    <row r="412" spans="1:9" ht="24" hidden="1" x14ac:dyDescent="0.25">
      <c r="A412" s="51">
        <v>430</v>
      </c>
      <c r="B412" s="53" t="s">
        <v>373</v>
      </c>
      <c r="C412" s="62" t="s">
        <v>237</v>
      </c>
      <c r="D412" s="67"/>
      <c r="E412" s="55" t="s">
        <v>58</v>
      </c>
      <c r="F412" s="56" t="s">
        <v>59</v>
      </c>
      <c r="G412" s="56" t="s">
        <v>64</v>
      </c>
      <c r="H412" s="56" t="s">
        <v>128</v>
      </c>
      <c r="I412" s="57" t="s">
        <v>65</v>
      </c>
    </row>
    <row r="413" spans="1:9" ht="24" hidden="1" x14ac:dyDescent="0.25">
      <c r="A413" s="51">
        <v>431</v>
      </c>
      <c r="B413" s="53" t="s">
        <v>373</v>
      </c>
      <c r="C413" s="62" t="s">
        <v>237</v>
      </c>
      <c r="D413" s="67"/>
      <c r="E413" s="55" t="s">
        <v>58</v>
      </c>
      <c r="F413" s="56" t="s">
        <v>59</v>
      </c>
      <c r="G413" s="56" t="s">
        <v>64</v>
      </c>
      <c r="H413" s="56" t="s">
        <v>128</v>
      </c>
      <c r="I413" s="57" t="s">
        <v>65</v>
      </c>
    </row>
    <row r="414" spans="1:9" ht="24" hidden="1" x14ac:dyDescent="0.25">
      <c r="A414" s="51">
        <v>432</v>
      </c>
      <c r="B414" s="53" t="s">
        <v>374</v>
      </c>
      <c r="C414" s="62" t="s">
        <v>289</v>
      </c>
      <c r="D414" s="67"/>
      <c r="E414" s="55" t="s">
        <v>58</v>
      </c>
      <c r="F414" s="56" t="s">
        <v>59</v>
      </c>
      <c r="G414" s="56" t="s">
        <v>64</v>
      </c>
      <c r="H414" s="56" t="s">
        <v>128</v>
      </c>
      <c r="I414" s="57" t="s">
        <v>65</v>
      </c>
    </row>
    <row r="415" spans="1:9" ht="24" hidden="1" x14ac:dyDescent="0.25">
      <c r="A415" s="51">
        <v>433</v>
      </c>
      <c r="B415" s="53" t="s">
        <v>375</v>
      </c>
      <c r="C415" s="62" t="s">
        <v>382</v>
      </c>
      <c r="D415" s="67"/>
      <c r="E415" s="55" t="s">
        <v>58</v>
      </c>
      <c r="F415" s="56" t="s">
        <v>59</v>
      </c>
      <c r="G415" s="56" t="s">
        <v>64</v>
      </c>
      <c r="H415" s="56" t="s">
        <v>128</v>
      </c>
      <c r="I415" s="57" t="s">
        <v>65</v>
      </c>
    </row>
    <row r="416" spans="1:9" ht="24" hidden="1" x14ac:dyDescent="0.25">
      <c r="A416" s="51">
        <v>434</v>
      </c>
      <c r="B416" s="53" t="s">
        <v>376</v>
      </c>
      <c r="C416" s="53" t="s">
        <v>249</v>
      </c>
      <c r="D416" s="67"/>
      <c r="E416" s="55" t="s">
        <v>58</v>
      </c>
      <c r="F416" s="56" t="s">
        <v>59</v>
      </c>
      <c r="G416" s="56" t="s">
        <v>64</v>
      </c>
      <c r="H416" s="56" t="s">
        <v>128</v>
      </c>
      <c r="I416" s="57" t="s">
        <v>65</v>
      </c>
    </row>
    <row r="417" spans="1:9" ht="24" hidden="1" x14ac:dyDescent="0.25">
      <c r="A417" s="51">
        <v>435</v>
      </c>
      <c r="B417" s="53" t="s">
        <v>376</v>
      </c>
      <c r="C417" s="53" t="s">
        <v>249</v>
      </c>
      <c r="D417" s="67"/>
      <c r="E417" s="55" t="s">
        <v>58</v>
      </c>
      <c r="F417" s="56" t="s">
        <v>59</v>
      </c>
      <c r="G417" s="56" t="s">
        <v>64</v>
      </c>
      <c r="H417" s="56" t="s">
        <v>128</v>
      </c>
      <c r="I417" s="57" t="s">
        <v>65</v>
      </c>
    </row>
    <row r="418" spans="1:9" ht="24" hidden="1" x14ac:dyDescent="0.25">
      <c r="A418" s="51">
        <v>436</v>
      </c>
      <c r="B418" s="53" t="s">
        <v>377</v>
      </c>
      <c r="C418" s="53" t="s">
        <v>249</v>
      </c>
      <c r="D418" s="67"/>
      <c r="E418" s="55" t="s">
        <v>58</v>
      </c>
      <c r="F418" s="56" t="s">
        <v>59</v>
      </c>
      <c r="G418" s="56" t="s">
        <v>64</v>
      </c>
      <c r="H418" s="56" t="s">
        <v>128</v>
      </c>
      <c r="I418" s="57" t="s">
        <v>65</v>
      </c>
    </row>
    <row r="419" spans="1:9" ht="24" hidden="1" x14ac:dyDescent="0.25">
      <c r="A419" s="51">
        <v>437</v>
      </c>
      <c r="B419" s="53" t="s">
        <v>378</v>
      </c>
      <c r="C419" s="53" t="s">
        <v>249</v>
      </c>
      <c r="D419" s="67"/>
      <c r="E419" s="55" t="s">
        <v>58</v>
      </c>
      <c r="F419" s="56" t="s">
        <v>59</v>
      </c>
      <c r="G419" s="56" t="s">
        <v>64</v>
      </c>
      <c r="H419" s="56" t="s">
        <v>128</v>
      </c>
      <c r="I419" s="57" t="s">
        <v>65</v>
      </c>
    </row>
    <row r="420" spans="1:9" ht="24" hidden="1" x14ac:dyDescent="0.25">
      <c r="A420" s="51">
        <v>438</v>
      </c>
      <c r="B420" s="53" t="s">
        <v>278</v>
      </c>
      <c r="C420" s="62" t="s">
        <v>295</v>
      </c>
      <c r="D420" s="67"/>
      <c r="E420" s="55" t="s">
        <v>58</v>
      </c>
      <c r="F420" s="56" t="s">
        <v>59</v>
      </c>
      <c r="G420" s="56" t="s">
        <v>64</v>
      </c>
      <c r="H420" s="56" t="s">
        <v>128</v>
      </c>
      <c r="I420" s="57" t="s">
        <v>65</v>
      </c>
    </row>
    <row r="421" spans="1:9" ht="24" hidden="1" x14ac:dyDescent="0.25">
      <c r="A421" s="51">
        <v>439</v>
      </c>
      <c r="B421" s="53" t="s">
        <v>379</v>
      </c>
      <c r="C421" s="62" t="s">
        <v>295</v>
      </c>
      <c r="D421" s="67"/>
      <c r="E421" s="55" t="s">
        <v>58</v>
      </c>
      <c r="F421" s="56" t="s">
        <v>59</v>
      </c>
      <c r="G421" s="56" t="s">
        <v>64</v>
      </c>
      <c r="H421" s="56" t="s">
        <v>128</v>
      </c>
      <c r="I421" s="57" t="s">
        <v>65</v>
      </c>
    </row>
    <row r="422" spans="1:9" ht="24" hidden="1" x14ac:dyDescent="0.25">
      <c r="A422" s="51">
        <v>440</v>
      </c>
      <c r="B422" s="53" t="s">
        <v>379</v>
      </c>
      <c r="C422" s="62" t="s">
        <v>295</v>
      </c>
      <c r="D422" s="67"/>
      <c r="E422" s="55" t="s">
        <v>58</v>
      </c>
      <c r="F422" s="56" t="s">
        <v>59</v>
      </c>
      <c r="G422" s="56" t="s">
        <v>64</v>
      </c>
      <c r="H422" s="56" t="s">
        <v>128</v>
      </c>
      <c r="I422" s="57" t="s">
        <v>65</v>
      </c>
    </row>
    <row r="423" spans="1:9" ht="24" hidden="1" x14ac:dyDescent="0.25">
      <c r="A423" s="51">
        <v>441</v>
      </c>
      <c r="B423" s="53" t="s">
        <v>379</v>
      </c>
      <c r="C423" s="62" t="s">
        <v>295</v>
      </c>
      <c r="D423" s="67"/>
      <c r="E423" s="55" t="s">
        <v>58</v>
      </c>
      <c r="F423" s="56" t="s">
        <v>59</v>
      </c>
      <c r="G423" s="56" t="s">
        <v>64</v>
      </c>
      <c r="H423" s="56" t="s">
        <v>128</v>
      </c>
      <c r="I423" s="57" t="s">
        <v>65</v>
      </c>
    </row>
    <row r="424" spans="1:9" ht="24" hidden="1" x14ac:dyDescent="0.25">
      <c r="A424" s="51">
        <v>442</v>
      </c>
      <c r="B424" s="53" t="s">
        <v>380</v>
      </c>
      <c r="C424" s="62" t="s">
        <v>381</v>
      </c>
      <c r="D424" s="67"/>
      <c r="E424" s="55" t="s">
        <v>58</v>
      </c>
      <c r="F424" s="56" t="s">
        <v>59</v>
      </c>
      <c r="G424" s="56" t="s">
        <v>64</v>
      </c>
      <c r="H424" s="56" t="s">
        <v>128</v>
      </c>
      <c r="I424" s="57" t="s">
        <v>65</v>
      </c>
    </row>
    <row r="425" spans="1:9" ht="24" hidden="1" x14ac:dyDescent="0.25">
      <c r="A425" s="51">
        <v>443</v>
      </c>
      <c r="B425" s="61" t="s">
        <v>239</v>
      </c>
      <c r="C425" s="62" t="s">
        <v>238</v>
      </c>
      <c r="D425" s="54"/>
      <c r="E425" s="55" t="s">
        <v>58</v>
      </c>
      <c r="F425" s="56" t="s">
        <v>59</v>
      </c>
      <c r="G425" s="56" t="s">
        <v>64</v>
      </c>
      <c r="H425" s="56" t="s">
        <v>128</v>
      </c>
      <c r="I425" s="57" t="s">
        <v>65</v>
      </c>
    </row>
    <row r="426" spans="1:9" ht="24" hidden="1" x14ac:dyDescent="0.25">
      <c r="A426" s="51">
        <v>444</v>
      </c>
      <c r="B426" s="53" t="s">
        <v>276</v>
      </c>
      <c r="C426" s="62" t="s">
        <v>291</v>
      </c>
      <c r="D426" s="95"/>
      <c r="E426" s="55" t="s">
        <v>58</v>
      </c>
      <c r="F426" s="56" t="s">
        <v>59</v>
      </c>
      <c r="G426" s="56" t="s">
        <v>64</v>
      </c>
      <c r="H426" s="56" t="s">
        <v>128</v>
      </c>
      <c r="I426" s="57" t="s">
        <v>65</v>
      </c>
    </row>
    <row r="427" spans="1:9" ht="24" hidden="1" x14ac:dyDescent="0.25">
      <c r="A427" s="51">
        <v>445</v>
      </c>
      <c r="B427" s="53" t="s">
        <v>282</v>
      </c>
      <c r="C427" s="53" t="s">
        <v>248</v>
      </c>
      <c r="D427" s="95"/>
      <c r="E427" s="55" t="s">
        <v>58</v>
      </c>
      <c r="F427" s="56" t="s">
        <v>59</v>
      </c>
      <c r="G427" s="56" t="s">
        <v>64</v>
      </c>
      <c r="H427" s="56" t="s">
        <v>128</v>
      </c>
      <c r="I427" s="57" t="s">
        <v>65</v>
      </c>
    </row>
    <row r="428" spans="1:9" ht="24" hidden="1" x14ac:dyDescent="0.25">
      <c r="A428" s="51">
        <v>446</v>
      </c>
      <c r="B428" s="53" t="s">
        <v>244</v>
      </c>
      <c r="C428" s="53" t="s">
        <v>245</v>
      </c>
      <c r="D428" s="54"/>
      <c r="E428" s="55" t="s">
        <v>58</v>
      </c>
      <c r="F428" s="56" t="s">
        <v>59</v>
      </c>
      <c r="G428" s="56" t="s">
        <v>64</v>
      </c>
      <c r="H428" s="56" t="s">
        <v>128</v>
      </c>
      <c r="I428" s="57" t="s">
        <v>65</v>
      </c>
    </row>
    <row r="429" spans="1:9" s="27" customFormat="1" ht="12.75" x14ac:dyDescent="0.2">
      <c r="A429" s="203" t="s">
        <v>199</v>
      </c>
      <c r="B429" s="204"/>
      <c r="C429" s="205"/>
      <c r="D429" s="58">
        <f>SUM(D315:D428)*1.21</f>
        <v>162600</v>
      </c>
      <c r="E429" s="55"/>
      <c r="F429" s="56"/>
      <c r="G429" s="56"/>
      <c r="H429" s="56"/>
      <c r="I429" s="57"/>
    </row>
    <row r="430" spans="1:9" ht="24" x14ac:dyDescent="0.25">
      <c r="A430" s="51">
        <v>226</v>
      </c>
      <c r="B430" s="61" t="s">
        <v>136</v>
      </c>
      <c r="C430" s="64"/>
      <c r="D430" s="54">
        <f>5000/1.21</f>
        <v>4132.2314049586776</v>
      </c>
      <c r="E430" s="55" t="s">
        <v>58</v>
      </c>
      <c r="F430" s="56" t="s">
        <v>59</v>
      </c>
      <c r="G430" s="56" t="s">
        <v>64</v>
      </c>
      <c r="H430" s="56"/>
      <c r="I430" s="57" t="s">
        <v>65</v>
      </c>
    </row>
    <row r="431" spans="1:9" s="27" customFormat="1" ht="12.75" x14ac:dyDescent="0.2">
      <c r="A431" s="203" t="s">
        <v>200</v>
      </c>
      <c r="B431" s="204"/>
      <c r="C431" s="205"/>
      <c r="D431" s="58">
        <f>SUM(D430)*1.21</f>
        <v>5000</v>
      </c>
      <c r="E431" s="55"/>
      <c r="F431" s="56"/>
      <c r="G431" s="56"/>
      <c r="H431" s="56"/>
      <c r="I431" s="57"/>
    </row>
    <row r="432" spans="1:9" s="27" customFormat="1" ht="24" hidden="1" x14ac:dyDescent="0.2">
      <c r="A432" s="65">
        <v>233</v>
      </c>
      <c r="B432" s="61" t="s">
        <v>789</v>
      </c>
      <c r="C432" s="132" t="s">
        <v>851</v>
      </c>
      <c r="D432" s="134"/>
      <c r="E432" s="55" t="s">
        <v>58</v>
      </c>
      <c r="F432" s="56" t="s">
        <v>59</v>
      </c>
      <c r="G432" s="56" t="s">
        <v>64</v>
      </c>
      <c r="H432" s="56" t="s">
        <v>128</v>
      </c>
      <c r="I432" s="57" t="s">
        <v>65</v>
      </c>
    </row>
    <row r="433" spans="1:9" s="27" customFormat="1" ht="24" hidden="1" x14ac:dyDescent="0.2">
      <c r="A433" s="65">
        <v>166</v>
      </c>
      <c r="B433" s="61" t="s">
        <v>790</v>
      </c>
      <c r="C433" s="132" t="s">
        <v>851</v>
      </c>
      <c r="D433" s="134"/>
      <c r="E433" s="55" t="s">
        <v>58</v>
      </c>
      <c r="F433" s="56" t="s">
        <v>59</v>
      </c>
      <c r="G433" s="56" t="s">
        <v>64</v>
      </c>
      <c r="H433" s="56" t="s">
        <v>128</v>
      </c>
      <c r="I433" s="57" t="s">
        <v>65</v>
      </c>
    </row>
    <row r="434" spans="1:9" s="27" customFormat="1" ht="24" hidden="1" x14ac:dyDescent="0.2">
      <c r="A434" s="65">
        <v>167</v>
      </c>
      <c r="B434" s="61" t="s">
        <v>854</v>
      </c>
      <c r="C434" s="132" t="s">
        <v>852</v>
      </c>
      <c r="D434" s="134"/>
      <c r="E434" s="55" t="s">
        <v>58</v>
      </c>
      <c r="F434" s="56" t="s">
        <v>59</v>
      </c>
      <c r="G434" s="56" t="s">
        <v>64</v>
      </c>
      <c r="H434" s="56" t="s">
        <v>128</v>
      </c>
      <c r="I434" s="57" t="s">
        <v>65</v>
      </c>
    </row>
    <row r="435" spans="1:9" s="27" customFormat="1" ht="24" hidden="1" x14ac:dyDescent="0.2">
      <c r="A435" s="65">
        <v>168</v>
      </c>
      <c r="B435" s="61" t="s">
        <v>791</v>
      </c>
      <c r="C435" s="132" t="s">
        <v>473</v>
      </c>
      <c r="D435" s="134"/>
      <c r="E435" s="55" t="s">
        <v>58</v>
      </c>
      <c r="F435" s="56" t="s">
        <v>59</v>
      </c>
      <c r="G435" s="56" t="s">
        <v>64</v>
      </c>
      <c r="H435" s="56" t="s">
        <v>128</v>
      </c>
      <c r="I435" s="57" t="s">
        <v>65</v>
      </c>
    </row>
    <row r="436" spans="1:9" s="27" customFormat="1" ht="24" hidden="1" x14ac:dyDescent="0.2">
      <c r="A436" s="65">
        <v>13</v>
      </c>
      <c r="B436" s="61" t="s">
        <v>793</v>
      </c>
      <c r="C436" s="132" t="s">
        <v>473</v>
      </c>
      <c r="D436" s="134"/>
      <c r="E436" s="55" t="s">
        <v>58</v>
      </c>
      <c r="F436" s="56" t="s">
        <v>59</v>
      </c>
      <c r="G436" s="56" t="s">
        <v>64</v>
      </c>
      <c r="H436" s="56" t="s">
        <v>128</v>
      </c>
      <c r="I436" s="57" t="s">
        <v>65</v>
      </c>
    </row>
    <row r="437" spans="1:9" s="27" customFormat="1" ht="24" x14ac:dyDescent="0.2">
      <c r="A437" s="65">
        <v>227</v>
      </c>
      <c r="B437" s="61" t="s">
        <v>794</v>
      </c>
      <c r="C437" s="132" t="s">
        <v>123</v>
      </c>
      <c r="D437" s="134">
        <v>500</v>
      </c>
      <c r="E437" s="55" t="s">
        <v>58</v>
      </c>
      <c r="F437" s="56" t="s">
        <v>59</v>
      </c>
      <c r="G437" s="56" t="s">
        <v>64</v>
      </c>
      <c r="H437" s="56" t="s">
        <v>128</v>
      </c>
      <c r="I437" s="57" t="s">
        <v>65</v>
      </c>
    </row>
    <row r="438" spans="1:9" s="27" customFormat="1" ht="24" x14ac:dyDescent="0.2">
      <c r="A438" s="65">
        <v>228</v>
      </c>
      <c r="B438" s="61" t="s">
        <v>795</v>
      </c>
      <c r="C438" s="132" t="s">
        <v>123</v>
      </c>
      <c r="D438" s="134">
        <v>1000</v>
      </c>
      <c r="E438" s="55" t="s">
        <v>58</v>
      </c>
      <c r="F438" s="56" t="s">
        <v>59</v>
      </c>
      <c r="G438" s="56" t="s">
        <v>64</v>
      </c>
      <c r="H438" s="56" t="s">
        <v>128</v>
      </c>
      <c r="I438" s="57" t="s">
        <v>65</v>
      </c>
    </row>
    <row r="439" spans="1:9" s="27" customFormat="1" ht="24" hidden="1" x14ac:dyDescent="0.2">
      <c r="A439" s="65">
        <v>172</v>
      </c>
      <c r="B439" s="61" t="s">
        <v>796</v>
      </c>
      <c r="C439" s="132" t="s">
        <v>852</v>
      </c>
      <c r="D439" s="134"/>
      <c r="E439" s="55" t="s">
        <v>58</v>
      </c>
      <c r="F439" s="56" t="s">
        <v>59</v>
      </c>
      <c r="G439" s="56" t="s">
        <v>64</v>
      </c>
      <c r="H439" s="56" t="s">
        <v>128</v>
      </c>
      <c r="I439" s="57" t="s">
        <v>65</v>
      </c>
    </row>
    <row r="440" spans="1:9" s="27" customFormat="1" ht="24" hidden="1" x14ac:dyDescent="0.2">
      <c r="A440" s="65">
        <v>173</v>
      </c>
      <c r="B440" s="61" t="s">
        <v>797</v>
      </c>
      <c r="C440" s="132" t="s">
        <v>852</v>
      </c>
      <c r="D440" s="134"/>
      <c r="E440" s="55" t="s">
        <v>58</v>
      </c>
      <c r="F440" s="56" t="s">
        <v>59</v>
      </c>
      <c r="G440" s="56" t="s">
        <v>64</v>
      </c>
      <c r="H440" s="56" t="s">
        <v>128</v>
      </c>
      <c r="I440" s="57" t="s">
        <v>65</v>
      </c>
    </row>
    <row r="441" spans="1:9" s="27" customFormat="1" ht="24" hidden="1" x14ac:dyDescent="0.2">
      <c r="A441" s="65">
        <v>174</v>
      </c>
      <c r="B441" s="61" t="s">
        <v>798</v>
      </c>
      <c r="C441" s="132" t="s">
        <v>851</v>
      </c>
      <c r="D441" s="134"/>
      <c r="E441" s="55" t="s">
        <v>58</v>
      </c>
      <c r="F441" s="56" t="s">
        <v>59</v>
      </c>
      <c r="G441" s="56" t="s">
        <v>64</v>
      </c>
      <c r="H441" s="56" t="s">
        <v>128</v>
      </c>
      <c r="I441" s="57" t="s">
        <v>65</v>
      </c>
    </row>
    <row r="442" spans="1:9" s="27" customFormat="1" ht="24" hidden="1" x14ac:dyDescent="0.2">
      <c r="A442" s="65">
        <v>175</v>
      </c>
      <c r="B442" s="61" t="s">
        <v>799</v>
      </c>
      <c r="C442" s="132" t="s">
        <v>851</v>
      </c>
      <c r="D442" s="134"/>
      <c r="E442" s="55" t="s">
        <v>58</v>
      </c>
      <c r="F442" s="56" t="s">
        <v>59</v>
      </c>
      <c r="G442" s="56" t="s">
        <v>64</v>
      </c>
      <c r="H442" s="56" t="s">
        <v>128</v>
      </c>
      <c r="I442" s="57" t="s">
        <v>65</v>
      </c>
    </row>
    <row r="443" spans="1:9" s="27" customFormat="1" ht="24" hidden="1" x14ac:dyDescent="0.2">
      <c r="A443" s="65">
        <v>176</v>
      </c>
      <c r="B443" s="61" t="s">
        <v>800</v>
      </c>
      <c r="C443" s="132" t="s">
        <v>851</v>
      </c>
      <c r="D443" s="134"/>
      <c r="E443" s="55" t="s">
        <v>58</v>
      </c>
      <c r="F443" s="56" t="s">
        <v>59</v>
      </c>
      <c r="G443" s="56" t="s">
        <v>64</v>
      </c>
      <c r="H443" s="56" t="s">
        <v>128</v>
      </c>
      <c r="I443" s="57" t="s">
        <v>65</v>
      </c>
    </row>
    <row r="444" spans="1:9" s="27" customFormat="1" ht="24" hidden="1" x14ac:dyDescent="0.2">
      <c r="A444" s="65">
        <v>177</v>
      </c>
      <c r="B444" s="61" t="s">
        <v>801</v>
      </c>
      <c r="C444" s="132" t="s">
        <v>473</v>
      </c>
      <c r="D444" s="134"/>
      <c r="E444" s="55" t="s">
        <v>58</v>
      </c>
      <c r="F444" s="56" t="s">
        <v>59</v>
      </c>
      <c r="G444" s="56" t="s">
        <v>64</v>
      </c>
      <c r="H444" s="56" t="s">
        <v>128</v>
      </c>
      <c r="I444" s="57" t="s">
        <v>65</v>
      </c>
    </row>
    <row r="445" spans="1:9" s="27" customFormat="1" ht="24" hidden="1" x14ac:dyDescent="0.2">
      <c r="A445" s="65">
        <v>178</v>
      </c>
      <c r="B445" s="61" t="s">
        <v>802</v>
      </c>
      <c r="C445" s="132" t="s">
        <v>473</v>
      </c>
      <c r="D445" s="134"/>
      <c r="E445" s="55" t="s">
        <v>58</v>
      </c>
      <c r="F445" s="56" t="s">
        <v>59</v>
      </c>
      <c r="G445" s="56" t="s">
        <v>64</v>
      </c>
      <c r="H445" s="56" t="s">
        <v>128</v>
      </c>
      <c r="I445" s="57" t="s">
        <v>65</v>
      </c>
    </row>
    <row r="446" spans="1:9" s="27" customFormat="1" ht="24" hidden="1" x14ac:dyDescent="0.2">
      <c r="A446" s="65">
        <v>179</v>
      </c>
      <c r="B446" s="61" t="s">
        <v>804</v>
      </c>
      <c r="C446" s="132" t="s">
        <v>852</v>
      </c>
      <c r="D446" s="134"/>
      <c r="E446" s="55" t="s">
        <v>58</v>
      </c>
      <c r="F446" s="56" t="s">
        <v>59</v>
      </c>
      <c r="G446" s="56" t="s">
        <v>64</v>
      </c>
      <c r="H446" s="56" t="s">
        <v>128</v>
      </c>
      <c r="I446" s="57" t="s">
        <v>65</v>
      </c>
    </row>
    <row r="447" spans="1:9" s="27" customFormat="1" ht="24" hidden="1" x14ac:dyDescent="0.2">
      <c r="A447" s="65">
        <v>180</v>
      </c>
      <c r="B447" s="61" t="s">
        <v>808</v>
      </c>
      <c r="C447" s="132" t="s">
        <v>852</v>
      </c>
      <c r="D447" s="134"/>
      <c r="E447" s="55" t="s">
        <v>58</v>
      </c>
      <c r="F447" s="56" t="s">
        <v>59</v>
      </c>
      <c r="G447" s="56" t="s">
        <v>64</v>
      </c>
      <c r="H447" s="56" t="s">
        <v>128</v>
      </c>
      <c r="I447" s="57" t="s">
        <v>65</v>
      </c>
    </row>
    <row r="448" spans="1:9" s="27" customFormat="1" ht="24" hidden="1" x14ac:dyDescent="0.2">
      <c r="A448" s="65">
        <v>181</v>
      </c>
      <c r="B448" s="61" t="s">
        <v>815</v>
      </c>
      <c r="C448" s="132" t="s">
        <v>473</v>
      </c>
      <c r="D448" s="134"/>
      <c r="E448" s="55" t="s">
        <v>58</v>
      </c>
      <c r="F448" s="56" t="s">
        <v>59</v>
      </c>
      <c r="G448" s="56" t="s">
        <v>64</v>
      </c>
      <c r="H448" s="56" t="s">
        <v>128</v>
      </c>
      <c r="I448" s="57" t="s">
        <v>65</v>
      </c>
    </row>
    <row r="449" spans="1:9" s="27" customFormat="1" ht="24" hidden="1" x14ac:dyDescent="0.2">
      <c r="A449" s="65">
        <v>182</v>
      </c>
      <c r="B449" s="61" t="s">
        <v>815</v>
      </c>
      <c r="C449" s="132" t="s">
        <v>473</v>
      </c>
      <c r="D449" s="134"/>
      <c r="E449" s="55" t="s">
        <v>58</v>
      </c>
      <c r="F449" s="56" t="s">
        <v>59</v>
      </c>
      <c r="G449" s="56" t="s">
        <v>64</v>
      </c>
      <c r="H449" s="56" t="s">
        <v>128</v>
      </c>
      <c r="I449" s="57" t="s">
        <v>65</v>
      </c>
    </row>
    <row r="450" spans="1:9" s="27" customFormat="1" ht="24" x14ac:dyDescent="0.2">
      <c r="A450" s="65">
        <v>229</v>
      </c>
      <c r="B450" s="61" t="s">
        <v>865</v>
      </c>
      <c r="C450" s="52" t="s">
        <v>866</v>
      </c>
      <c r="D450" s="134">
        <v>5000</v>
      </c>
      <c r="E450" s="55" t="s">
        <v>58</v>
      </c>
      <c r="F450" s="56" t="s">
        <v>59</v>
      </c>
      <c r="G450" s="56" t="s">
        <v>64</v>
      </c>
      <c r="H450" s="56" t="s">
        <v>128</v>
      </c>
      <c r="I450" s="57" t="s">
        <v>65</v>
      </c>
    </row>
    <row r="451" spans="1:9" s="27" customFormat="1" ht="12.75" x14ac:dyDescent="0.2">
      <c r="A451" s="203" t="s">
        <v>201</v>
      </c>
      <c r="B451" s="204"/>
      <c r="C451" s="205"/>
      <c r="D451" s="58">
        <f>SUM(D432:D450)*1.21</f>
        <v>7865</v>
      </c>
      <c r="E451" s="55"/>
      <c r="F451" s="56"/>
      <c r="G451" s="56"/>
      <c r="H451" s="56"/>
      <c r="I451" s="57"/>
    </row>
    <row r="452" spans="1:9" ht="24" hidden="1" x14ac:dyDescent="0.25">
      <c r="A452" s="51">
        <v>236</v>
      </c>
      <c r="B452" s="63" t="s">
        <v>137</v>
      </c>
      <c r="C452" s="64"/>
      <c r="D452" s="54"/>
      <c r="E452" s="55" t="s">
        <v>58</v>
      </c>
      <c r="F452" s="56" t="s">
        <v>59</v>
      </c>
      <c r="G452" s="56" t="s">
        <v>64</v>
      </c>
      <c r="H452" s="56"/>
      <c r="I452" s="57" t="s">
        <v>65</v>
      </c>
    </row>
    <row r="453" spans="1:9" s="27" customFormat="1" ht="12.75" hidden="1" x14ac:dyDescent="0.2">
      <c r="A453" s="203" t="s">
        <v>202</v>
      </c>
      <c r="B453" s="204"/>
      <c r="C453" s="205"/>
      <c r="D453" s="58">
        <f>SUM(D452)*1.19</f>
        <v>0</v>
      </c>
      <c r="E453" s="55"/>
      <c r="F453" s="56"/>
      <c r="G453" s="56"/>
      <c r="H453" s="56"/>
      <c r="I453" s="57"/>
    </row>
    <row r="454" spans="1:9" ht="24" hidden="1" x14ac:dyDescent="0.25">
      <c r="A454" s="51">
        <v>237</v>
      </c>
      <c r="B454" s="61" t="s">
        <v>386</v>
      </c>
      <c r="C454" s="64"/>
      <c r="D454" s="54"/>
      <c r="E454" s="55" t="s">
        <v>58</v>
      </c>
      <c r="F454" s="56" t="s">
        <v>59</v>
      </c>
      <c r="G454" s="56" t="s">
        <v>64</v>
      </c>
      <c r="H454" s="56"/>
      <c r="I454" s="57" t="s">
        <v>65</v>
      </c>
    </row>
    <row r="455" spans="1:9" s="27" customFormat="1" ht="12.75" hidden="1" x14ac:dyDescent="0.2">
      <c r="A455" s="203" t="s">
        <v>385</v>
      </c>
      <c r="B455" s="204"/>
      <c r="C455" s="205"/>
      <c r="D455" s="58">
        <f>SUM(D454)*1.19</f>
        <v>0</v>
      </c>
      <c r="E455" s="55"/>
      <c r="F455" s="56"/>
      <c r="G455" s="56"/>
      <c r="H455" s="56"/>
      <c r="I455" s="57"/>
    </row>
    <row r="456" spans="1:9" ht="24" x14ac:dyDescent="0.25">
      <c r="A456" s="51">
        <v>230</v>
      </c>
      <c r="B456" s="61" t="s">
        <v>138</v>
      </c>
      <c r="C456" s="61" t="s">
        <v>139</v>
      </c>
      <c r="D456" s="54">
        <f>25000</f>
        <v>25000</v>
      </c>
      <c r="E456" s="55" t="s">
        <v>58</v>
      </c>
      <c r="F456" s="56" t="s">
        <v>59</v>
      </c>
      <c r="G456" s="56" t="s">
        <v>64</v>
      </c>
      <c r="H456" s="56" t="s">
        <v>128</v>
      </c>
      <c r="I456" s="57" t="s">
        <v>65</v>
      </c>
    </row>
    <row r="457" spans="1:9" ht="24" x14ac:dyDescent="0.25">
      <c r="A457" s="51">
        <v>231</v>
      </c>
      <c r="B457" s="61" t="s">
        <v>140</v>
      </c>
      <c r="C457" s="61" t="s">
        <v>243</v>
      </c>
      <c r="D457" s="54">
        <f>3850*6</f>
        <v>23100</v>
      </c>
      <c r="E457" s="55" t="s">
        <v>58</v>
      </c>
      <c r="F457" s="56" t="s">
        <v>59</v>
      </c>
      <c r="G457" s="56" t="s">
        <v>64</v>
      </c>
      <c r="H457" s="56" t="s">
        <v>128</v>
      </c>
      <c r="I457" s="57" t="s">
        <v>65</v>
      </c>
    </row>
    <row r="458" spans="1:9" ht="24" hidden="1" x14ac:dyDescent="0.25">
      <c r="A458" s="51">
        <v>240</v>
      </c>
      <c r="B458" s="53" t="s">
        <v>269</v>
      </c>
      <c r="C458" s="53" t="s">
        <v>145</v>
      </c>
      <c r="D458" s="54"/>
      <c r="E458" s="55" t="s">
        <v>58</v>
      </c>
      <c r="F458" s="56" t="s">
        <v>59</v>
      </c>
      <c r="G458" s="56" t="s">
        <v>64</v>
      </c>
      <c r="H458" s="56" t="s">
        <v>128</v>
      </c>
      <c r="I458" s="57" t="s">
        <v>65</v>
      </c>
    </row>
    <row r="459" spans="1:9" ht="36" x14ac:dyDescent="0.25">
      <c r="A459" s="51">
        <v>232</v>
      </c>
      <c r="B459" s="61" t="s">
        <v>141</v>
      </c>
      <c r="C459" s="61" t="s">
        <v>242</v>
      </c>
      <c r="D459" s="54">
        <f>(132000/1.21)-D456-D457-D460-D461</f>
        <v>55990.909090909088</v>
      </c>
      <c r="E459" s="55" t="s">
        <v>58</v>
      </c>
      <c r="F459" s="56" t="s">
        <v>59</v>
      </c>
      <c r="G459" s="56" t="s">
        <v>64</v>
      </c>
      <c r="H459" s="56" t="s">
        <v>128</v>
      </c>
      <c r="I459" s="57" t="s">
        <v>65</v>
      </c>
    </row>
    <row r="460" spans="1:9" ht="24" x14ac:dyDescent="0.25">
      <c r="A460" s="51">
        <v>233</v>
      </c>
      <c r="B460" s="61" t="s">
        <v>142</v>
      </c>
      <c r="C460" s="61" t="s">
        <v>143</v>
      </c>
      <c r="D460" s="54">
        <v>1400</v>
      </c>
      <c r="E460" s="55" t="s">
        <v>58</v>
      </c>
      <c r="F460" s="56" t="s">
        <v>59</v>
      </c>
      <c r="G460" s="56" t="s">
        <v>64</v>
      </c>
      <c r="H460" s="56" t="s">
        <v>128</v>
      </c>
      <c r="I460" s="57" t="s">
        <v>65</v>
      </c>
    </row>
    <row r="461" spans="1:9" ht="24" x14ac:dyDescent="0.25">
      <c r="A461" s="51">
        <v>234</v>
      </c>
      <c r="B461" s="61" t="s">
        <v>144</v>
      </c>
      <c r="C461" s="61" t="s">
        <v>145</v>
      </c>
      <c r="D461" s="54">
        <f>300*12</f>
        <v>3600</v>
      </c>
      <c r="E461" s="55" t="s">
        <v>58</v>
      </c>
      <c r="F461" s="56" t="s">
        <v>59</v>
      </c>
      <c r="G461" s="56" t="s">
        <v>64</v>
      </c>
      <c r="H461" s="56" t="s">
        <v>128</v>
      </c>
      <c r="I461" s="57" t="s">
        <v>65</v>
      </c>
    </row>
    <row r="462" spans="1:9" s="27" customFormat="1" ht="12.75" x14ac:dyDescent="0.2">
      <c r="A462" s="203" t="s">
        <v>203</v>
      </c>
      <c r="B462" s="204"/>
      <c r="C462" s="205"/>
      <c r="D462" s="58">
        <f>SUM(D456:D461)*1.21</f>
        <v>132000</v>
      </c>
      <c r="E462" s="55"/>
      <c r="F462" s="56"/>
      <c r="G462" s="56"/>
      <c r="H462" s="56"/>
      <c r="I462" s="57"/>
    </row>
    <row r="463" spans="1:9" ht="24" hidden="1" x14ac:dyDescent="0.25">
      <c r="A463" s="51">
        <v>241</v>
      </c>
      <c r="B463" s="63" t="s">
        <v>146</v>
      </c>
      <c r="C463" s="63"/>
      <c r="D463" s="54"/>
      <c r="E463" s="55" t="s">
        <v>58</v>
      </c>
      <c r="F463" s="56" t="s">
        <v>59</v>
      </c>
      <c r="G463" s="56" t="s">
        <v>64</v>
      </c>
      <c r="H463" s="56"/>
      <c r="I463" s="57" t="s">
        <v>65</v>
      </c>
    </row>
    <row r="464" spans="1:9" s="27" customFormat="1" ht="12.75" hidden="1" x14ac:dyDescent="0.2">
      <c r="A464" s="203" t="s">
        <v>204</v>
      </c>
      <c r="B464" s="204"/>
      <c r="C464" s="205"/>
      <c r="D464" s="58">
        <f>SUM(D463)*1.19</f>
        <v>0</v>
      </c>
      <c r="E464" s="55"/>
      <c r="F464" s="56"/>
      <c r="G464" s="56"/>
      <c r="H464" s="56"/>
      <c r="I464" s="57"/>
    </row>
    <row r="465" spans="1:9" ht="24" x14ac:dyDescent="0.25">
      <c r="A465" s="51">
        <v>235</v>
      </c>
      <c r="B465" s="61" t="s">
        <v>147</v>
      </c>
      <c r="C465" s="64"/>
      <c r="D465" s="54">
        <f>65000/1.21</f>
        <v>53719.008264462813</v>
      </c>
      <c r="E465" s="55" t="s">
        <v>58</v>
      </c>
      <c r="F465" s="56" t="s">
        <v>59</v>
      </c>
      <c r="G465" s="56" t="s">
        <v>64</v>
      </c>
      <c r="H465" s="56"/>
      <c r="I465" s="57" t="s">
        <v>65</v>
      </c>
    </row>
    <row r="466" spans="1:9" s="27" customFormat="1" ht="12.75" x14ac:dyDescent="0.2">
      <c r="A466" s="203" t="s">
        <v>205</v>
      </c>
      <c r="B466" s="204"/>
      <c r="C466" s="205"/>
      <c r="D466" s="58">
        <f>SUM(D465)*1.21</f>
        <v>65000</v>
      </c>
      <c r="E466" s="55"/>
      <c r="F466" s="56"/>
      <c r="G466" s="56"/>
      <c r="H466" s="56"/>
      <c r="I466" s="57"/>
    </row>
    <row r="467" spans="1:9" ht="24" x14ac:dyDescent="0.25">
      <c r="A467" s="51">
        <v>236</v>
      </c>
      <c r="B467" s="61" t="s">
        <v>148</v>
      </c>
      <c r="C467" s="64"/>
      <c r="D467" s="54">
        <f>23500/1.21</f>
        <v>19421.487603305784</v>
      </c>
      <c r="E467" s="55" t="s">
        <v>58</v>
      </c>
      <c r="F467" s="56" t="s">
        <v>59</v>
      </c>
      <c r="G467" s="56" t="s">
        <v>64</v>
      </c>
      <c r="H467" s="56"/>
      <c r="I467" s="57" t="s">
        <v>65</v>
      </c>
    </row>
    <row r="468" spans="1:9" s="27" customFormat="1" ht="12.75" x14ac:dyDescent="0.2">
      <c r="A468" s="203" t="s">
        <v>206</v>
      </c>
      <c r="B468" s="204"/>
      <c r="C468" s="205"/>
      <c r="D468" s="58">
        <f>SUM(D467)*1.21</f>
        <v>23500</v>
      </c>
      <c r="E468" s="55"/>
      <c r="F468" s="56"/>
      <c r="G468" s="56"/>
      <c r="H468" s="56"/>
      <c r="I468" s="57"/>
    </row>
    <row r="469" spans="1:9" ht="24" hidden="1" x14ac:dyDescent="0.25">
      <c r="A469" s="51">
        <v>246</v>
      </c>
      <c r="B469" s="61" t="s">
        <v>503</v>
      </c>
      <c r="C469" s="61" t="s">
        <v>502</v>
      </c>
      <c r="D469" s="54"/>
      <c r="E469" s="55" t="s">
        <v>58</v>
      </c>
      <c r="F469" s="56" t="s">
        <v>59</v>
      </c>
      <c r="G469" s="56" t="s">
        <v>64</v>
      </c>
      <c r="H469" s="56"/>
      <c r="I469" s="57" t="s">
        <v>65</v>
      </c>
    </row>
    <row r="470" spans="1:9" s="27" customFormat="1" ht="12.75" hidden="1" x14ac:dyDescent="0.2">
      <c r="A470" s="203" t="s">
        <v>871</v>
      </c>
      <c r="B470" s="204"/>
      <c r="C470" s="205"/>
      <c r="D470" s="58">
        <f>(D469)*1.19</f>
        <v>0</v>
      </c>
      <c r="E470" s="55"/>
      <c r="F470" s="56"/>
      <c r="G470" s="56"/>
      <c r="H470" s="56"/>
      <c r="I470" s="57"/>
    </row>
    <row r="471" spans="1:9" ht="24" hidden="1" x14ac:dyDescent="0.25">
      <c r="A471" s="51">
        <v>247</v>
      </c>
      <c r="B471" s="61" t="s">
        <v>405</v>
      </c>
      <c r="C471" s="61" t="s">
        <v>404</v>
      </c>
      <c r="D471" s="54"/>
      <c r="E471" s="55" t="s">
        <v>58</v>
      </c>
      <c r="F471" s="56" t="s">
        <v>59</v>
      </c>
      <c r="G471" s="56" t="s">
        <v>64</v>
      </c>
      <c r="H471" s="56" t="s">
        <v>128</v>
      </c>
      <c r="I471" s="57" t="s">
        <v>65</v>
      </c>
    </row>
    <row r="472" spans="1:9" ht="24" hidden="1" x14ac:dyDescent="0.25">
      <c r="A472" s="51">
        <v>248</v>
      </c>
      <c r="B472" s="61" t="s">
        <v>406</v>
      </c>
      <c r="C472" s="61" t="s">
        <v>407</v>
      </c>
      <c r="D472" s="54"/>
      <c r="E472" s="55"/>
      <c r="F472" s="56"/>
      <c r="G472" s="56"/>
      <c r="H472" s="56"/>
      <c r="I472" s="57"/>
    </row>
    <row r="473" spans="1:9" ht="24" x14ac:dyDescent="0.25">
      <c r="A473" s="51">
        <v>237</v>
      </c>
      <c r="B473" s="61" t="s">
        <v>1476</v>
      </c>
      <c r="C473" s="61" t="s">
        <v>1477</v>
      </c>
      <c r="D473" s="54">
        <f>20000/1.21</f>
        <v>16528.92561983471</v>
      </c>
      <c r="E473" s="55" t="s">
        <v>58</v>
      </c>
      <c r="F473" s="56" t="s">
        <v>59</v>
      </c>
      <c r="G473" s="56" t="s">
        <v>64</v>
      </c>
      <c r="H473" s="56" t="s">
        <v>128</v>
      </c>
      <c r="I473" s="57" t="s">
        <v>65</v>
      </c>
    </row>
    <row r="474" spans="1:9" s="27" customFormat="1" ht="12.75" x14ac:dyDescent="0.2">
      <c r="A474" s="203" t="s">
        <v>468</v>
      </c>
      <c r="B474" s="204"/>
      <c r="C474" s="205"/>
      <c r="D474" s="58">
        <f>SUM(D471:D473)*1.21</f>
        <v>20000</v>
      </c>
      <c r="E474" s="55"/>
      <c r="F474" s="56"/>
      <c r="G474" s="56"/>
      <c r="H474" s="56"/>
      <c r="I474" s="57"/>
    </row>
    <row r="475" spans="1:9" ht="24" x14ac:dyDescent="0.25">
      <c r="A475" s="51">
        <v>238</v>
      </c>
      <c r="B475" s="61" t="s">
        <v>466</v>
      </c>
      <c r="C475" s="61" t="s">
        <v>467</v>
      </c>
      <c r="D475" s="54">
        <f>7200/1.21</f>
        <v>5950.4132231404965</v>
      </c>
      <c r="E475" s="55" t="s">
        <v>58</v>
      </c>
      <c r="F475" s="56" t="s">
        <v>59</v>
      </c>
      <c r="G475" s="56" t="s">
        <v>64</v>
      </c>
      <c r="H475" s="56"/>
      <c r="I475" s="57" t="s">
        <v>65</v>
      </c>
    </row>
    <row r="476" spans="1:9" x14ac:dyDescent="0.25">
      <c r="A476" s="51">
        <v>239</v>
      </c>
      <c r="B476" s="61" t="s">
        <v>1478</v>
      </c>
      <c r="C476" s="61" t="s">
        <v>467</v>
      </c>
      <c r="D476" s="54">
        <f>12000/1.21-D475-D477</f>
        <v>3294.6732411973053</v>
      </c>
      <c r="E476" s="55"/>
      <c r="F476" s="56"/>
      <c r="G476" s="56"/>
      <c r="H476" s="56"/>
      <c r="I476" s="57"/>
    </row>
    <row r="477" spans="1:9" ht="24" x14ac:dyDescent="0.25">
      <c r="A477" s="51">
        <v>240</v>
      </c>
      <c r="B477" s="61" t="s">
        <v>475</v>
      </c>
      <c r="C477" s="61" t="s">
        <v>476</v>
      </c>
      <c r="D477" s="54">
        <f>800/1.19</f>
        <v>672.26890756302521</v>
      </c>
      <c r="E477" s="55" t="s">
        <v>58</v>
      </c>
      <c r="F477" s="56" t="s">
        <v>59</v>
      </c>
      <c r="G477" s="56" t="s">
        <v>64</v>
      </c>
      <c r="H477" s="56"/>
      <c r="I477" s="57" t="s">
        <v>65</v>
      </c>
    </row>
    <row r="478" spans="1:9" s="27" customFormat="1" ht="12.75" x14ac:dyDescent="0.2">
      <c r="A478" s="203" t="s">
        <v>228</v>
      </c>
      <c r="B478" s="204"/>
      <c r="C478" s="205"/>
      <c r="D478" s="58">
        <f>SUM(D475:D477)*1.21</f>
        <v>12000</v>
      </c>
      <c r="E478" s="55"/>
      <c r="F478" s="56"/>
      <c r="G478" s="56"/>
      <c r="H478" s="56"/>
      <c r="I478" s="57"/>
    </row>
    <row r="479" spans="1:9" x14ac:dyDescent="0.25">
      <c r="A479" s="229" t="s">
        <v>207</v>
      </c>
      <c r="B479" s="230"/>
      <c r="C479" s="231"/>
      <c r="D479" s="66">
        <f>D12+D27+D29+D31+D85+D90+D146+D312+D314+D429+D431+D451+D455+D462+D464+D466+D468+D310+D306+D300+D252+D143+D125+D14+D453</f>
        <v>7904823.1375327734</v>
      </c>
      <c r="E479" s="232"/>
      <c r="F479" s="232"/>
      <c r="G479" s="232"/>
      <c r="H479" s="232"/>
      <c r="I479" s="232"/>
    </row>
    <row r="481" spans="1:9" s="31" customFormat="1" ht="12.75" x14ac:dyDescent="0.2">
      <c r="A481" s="29"/>
      <c r="B481" s="194" t="s">
        <v>208</v>
      </c>
      <c r="C481" s="224" t="s">
        <v>225</v>
      </c>
      <c r="D481" s="224"/>
      <c r="E481" s="224"/>
      <c r="G481" s="225" t="s">
        <v>209</v>
      </c>
      <c r="H481" s="225"/>
      <c r="I481" s="33"/>
    </row>
    <row r="482" spans="1:9" s="31" customFormat="1" ht="12.75" x14ac:dyDescent="0.2">
      <c r="A482" s="29"/>
      <c r="B482" s="194" t="s">
        <v>210</v>
      </c>
      <c r="C482" s="224" t="s">
        <v>226</v>
      </c>
      <c r="D482" s="224"/>
      <c r="E482" s="224"/>
      <c r="G482" s="224" t="s">
        <v>211</v>
      </c>
      <c r="H482" s="224"/>
      <c r="I482" s="29"/>
    </row>
  </sheetData>
  <sortState xmlns:xlrd2="http://schemas.microsoft.com/office/spreadsheetml/2017/richdata2" ref="B110:D298">
    <sortCondition ref="B110:B298"/>
  </sortState>
  <mergeCells count="35">
    <mergeCell ref="G481:H481"/>
    <mergeCell ref="G482:H482"/>
    <mergeCell ref="C481:E481"/>
    <mergeCell ref="A479:C479"/>
    <mergeCell ref="E479:I479"/>
    <mergeCell ref="A310:C310"/>
    <mergeCell ref="A312:C312"/>
    <mergeCell ref="A314:C314"/>
    <mergeCell ref="A431:C431"/>
    <mergeCell ref="C482:E482"/>
    <mergeCell ref="A478:C478"/>
    <mergeCell ref="A474:C474"/>
    <mergeCell ref="A468:C468"/>
    <mergeCell ref="A466:C466"/>
    <mergeCell ref="A429:C429"/>
    <mergeCell ref="A451:C451"/>
    <mergeCell ref="A453:C453"/>
    <mergeCell ref="A462:C462"/>
    <mergeCell ref="A464:C464"/>
    <mergeCell ref="A455:C455"/>
    <mergeCell ref="A470:C470"/>
    <mergeCell ref="A9:I9"/>
    <mergeCell ref="A12:C12"/>
    <mergeCell ref="A14:C14"/>
    <mergeCell ref="A27:C27"/>
    <mergeCell ref="A306:C306"/>
    <mergeCell ref="A143:C143"/>
    <mergeCell ref="A146:C146"/>
    <mergeCell ref="A252:C252"/>
    <mergeCell ref="A300:C300"/>
    <mergeCell ref="A29:C29"/>
    <mergeCell ref="A31:C31"/>
    <mergeCell ref="A85:C85"/>
    <mergeCell ref="A90:C90"/>
    <mergeCell ref="A125:C125"/>
  </mergeCells>
  <pageMargins left="0.25" right="0.25" top="0.75" bottom="0.75" header="0.3" footer="0.3"/>
  <pageSetup paperSize="9" scale="66"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F5CA47-CB82-47C0-A010-8E33C8B714A1}">
  <sheetPr>
    <pageSetUpPr fitToPage="1"/>
  </sheetPr>
  <dimension ref="A1:H388"/>
  <sheetViews>
    <sheetView topLeftCell="A335" workbookViewId="0">
      <selection activeCell="C379" sqref="C379"/>
    </sheetView>
  </sheetViews>
  <sheetFormatPr defaultRowHeight="11.25" x14ac:dyDescent="0.2"/>
  <cols>
    <col min="1" max="1" width="10.42578125" style="157" customWidth="1"/>
    <col min="2" max="2" width="22" style="157" customWidth="1"/>
    <col min="3" max="3" width="111.140625" style="157" customWidth="1"/>
    <col min="4" max="4" width="6.140625" style="157" customWidth="1"/>
    <col min="5" max="5" width="12.42578125" style="158" hidden="1" customWidth="1"/>
    <col min="6" max="6" width="12.42578125" style="158" customWidth="1"/>
    <col min="7" max="7" width="10.5703125" style="157" bestFit="1" customWidth="1"/>
    <col min="8" max="8" width="15.28515625" style="158" customWidth="1"/>
    <col min="9" max="257" width="9.140625" style="159"/>
    <col min="258" max="258" width="10.42578125" style="159" customWidth="1"/>
    <col min="259" max="259" width="32.28515625" style="159" customWidth="1"/>
    <col min="260" max="260" width="111.140625" style="159" customWidth="1"/>
    <col min="261" max="261" width="6.140625" style="159" customWidth="1"/>
    <col min="262" max="262" width="12.42578125" style="159" customWidth="1"/>
    <col min="263" max="263" width="10.5703125" style="159" bestFit="1" customWidth="1"/>
    <col min="264" max="264" width="15.28515625" style="159" customWidth="1"/>
    <col min="265" max="513" width="9.140625" style="159"/>
    <col min="514" max="514" width="10.42578125" style="159" customWidth="1"/>
    <col min="515" max="515" width="32.28515625" style="159" customWidth="1"/>
    <col min="516" max="516" width="111.140625" style="159" customWidth="1"/>
    <col min="517" max="517" width="6.140625" style="159" customWidth="1"/>
    <col min="518" max="518" width="12.42578125" style="159" customWidth="1"/>
    <col min="519" max="519" width="10.5703125" style="159" bestFit="1" customWidth="1"/>
    <col min="520" max="520" width="15.28515625" style="159" customWidth="1"/>
    <col min="521" max="769" width="9.140625" style="159"/>
    <col min="770" max="770" width="10.42578125" style="159" customWidth="1"/>
    <col min="771" max="771" width="32.28515625" style="159" customWidth="1"/>
    <col min="772" max="772" width="111.140625" style="159" customWidth="1"/>
    <col min="773" max="773" width="6.140625" style="159" customWidth="1"/>
    <col min="774" max="774" width="12.42578125" style="159" customWidth="1"/>
    <col min="775" max="775" width="10.5703125" style="159" bestFit="1" customWidth="1"/>
    <col min="776" max="776" width="15.28515625" style="159" customWidth="1"/>
    <col min="777" max="1025" width="9.140625" style="159"/>
    <col min="1026" max="1026" width="10.42578125" style="159" customWidth="1"/>
    <col min="1027" max="1027" width="32.28515625" style="159" customWidth="1"/>
    <col min="1028" max="1028" width="111.140625" style="159" customWidth="1"/>
    <col min="1029" max="1029" width="6.140625" style="159" customWidth="1"/>
    <col min="1030" max="1030" width="12.42578125" style="159" customWidth="1"/>
    <col min="1031" max="1031" width="10.5703125" style="159" bestFit="1" customWidth="1"/>
    <col min="1032" max="1032" width="15.28515625" style="159" customWidth="1"/>
    <col min="1033" max="1281" width="9.140625" style="159"/>
    <col min="1282" max="1282" width="10.42578125" style="159" customWidth="1"/>
    <col min="1283" max="1283" width="32.28515625" style="159" customWidth="1"/>
    <col min="1284" max="1284" width="111.140625" style="159" customWidth="1"/>
    <col min="1285" max="1285" width="6.140625" style="159" customWidth="1"/>
    <col min="1286" max="1286" width="12.42578125" style="159" customWidth="1"/>
    <col min="1287" max="1287" width="10.5703125" style="159" bestFit="1" customWidth="1"/>
    <col min="1288" max="1288" width="15.28515625" style="159" customWidth="1"/>
    <col min="1289" max="1537" width="9.140625" style="159"/>
    <col min="1538" max="1538" width="10.42578125" style="159" customWidth="1"/>
    <col min="1539" max="1539" width="32.28515625" style="159" customWidth="1"/>
    <col min="1540" max="1540" width="111.140625" style="159" customWidth="1"/>
    <col min="1541" max="1541" width="6.140625" style="159" customWidth="1"/>
    <col min="1542" max="1542" width="12.42578125" style="159" customWidth="1"/>
    <col min="1543" max="1543" width="10.5703125" style="159" bestFit="1" customWidth="1"/>
    <col min="1544" max="1544" width="15.28515625" style="159" customWidth="1"/>
    <col min="1545" max="1793" width="9.140625" style="159"/>
    <col min="1794" max="1794" width="10.42578125" style="159" customWidth="1"/>
    <col min="1795" max="1795" width="32.28515625" style="159" customWidth="1"/>
    <col min="1796" max="1796" width="111.140625" style="159" customWidth="1"/>
    <col min="1797" max="1797" width="6.140625" style="159" customWidth="1"/>
    <col min="1798" max="1798" width="12.42578125" style="159" customWidth="1"/>
    <col min="1799" max="1799" width="10.5703125" style="159" bestFit="1" customWidth="1"/>
    <col min="1800" max="1800" width="15.28515625" style="159" customWidth="1"/>
    <col min="1801" max="2049" width="9.140625" style="159"/>
    <col min="2050" max="2050" width="10.42578125" style="159" customWidth="1"/>
    <col min="2051" max="2051" width="32.28515625" style="159" customWidth="1"/>
    <col min="2052" max="2052" width="111.140625" style="159" customWidth="1"/>
    <col min="2053" max="2053" width="6.140625" style="159" customWidth="1"/>
    <col min="2054" max="2054" width="12.42578125" style="159" customWidth="1"/>
    <col min="2055" max="2055" width="10.5703125" style="159" bestFit="1" customWidth="1"/>
    <col min="2056" max="2056" width="15.28515625" style="159" customWidth="1"/>
    <col min="2057" max="2305" width="9.140625" style="159"/>
    <col min="2306" max="2306" width="10.42578125" style="159" customWidth="1"/>
    <col min="2307" max="2307" width="32.28515625" style="159" customWidth="1"/>
    <col min="2308" max="2308" width="111.140625" style="159" customWidth="1"/>
    <col min="2309" max="2309" width="6.140625" style="159" customWidth="1"/>
    <col min="2310" max="2310" width="12.42578125" style="159" customWidth="1"/>
    <col min="2311" max="2311" width="10.5703125" style="159" bestFit="1" customWidth="1"/>
    <col min="2312" max="2312" width="15.28515625" style="159" customWidth="1"/>
    <col min="2313" max="2561" width="9.140625" style="159"/>
    <col min="2562" max="2562" width="10.42578125" style="159" customWidth="1"/>
    <col min="2563" max="2563" width="32.28515625" style="159" customWidth="1"/>
    <col min="2564" max="2564" width="111.140625" style="159" customWidth="1"/>
    <col min="2565" max="2565" width="6.140625" style="159" customWidth="1"/>
    <col min="2566" max="2566" width="12.42578125" style="159" customWidth="1"/>
    <col min="2567" max="2567" width="10.5703125" style="159" bestFit="1" customWidth="1"/>
    <col min="2568" max="2568" width="15.28515625" style="159" customWidth="1"/>
    <col min="2569" max="2817" width="9.140625" style="159"/>
    <col min="2818" max="2818" width="10.42578125" style="159" customWidth="1"/>
    <col min="2819" max="2819" width="32.28515625" style="159" customWidth="1"/>
    <col min="2820" max="2820" width="111.140625" style="159" customWidth="1"/>
    <col min="2821" max="2821" width="6.140625" style="159" customWidth="1"/>
    <col min="2822" max="2822" width="12.42578125" style="159" customWidth="1"/>
    <col min="2823" max="2823" width="10.5703125" style="159" bestFit="1" customWidth="1"/>
    <col min="2824" max="2824" width="15.28515625" style="159" customWidth="1"/>
    <col min="2825" max="3073" width="9.140625" style="159"/>
    <col min="3074" max="3074" width="10.42578125" style="159" customWidth="1"/>
    <col min="3075" max="3075" width="32.28515625" style="159" customWidth="1"/>
    <col min="3076" max="3076" width="111.140625" style="159" customWidth="1"/>
    <col min="3077" max="3077" width="6.140625" style="159" customWidth="1"/>
    <col min="3078" max="3078" width="12.42578125" style="159" customWidth="1"/>
    <col min="3079" max="3079" width="10.5703125" style="159" bestFit="1" customWidth="1"/>
    <col min="3080" max="3080" width="15.28515625" style="159" customWidth="1"/>
    <col min="3081" max="3329" width="9.140625" style="159"/>
    <col min="3330" max="3330" width="10.42578125" style="159" customWidth="1"/>
    <col min="3331" max="3331" width="32.28515625" style="159" customWidth="1"/>
    <col min="3332" max="3332" width="111.140625" style="159" customWidth="1"/>
    <col min="3333" max="3333" width="6.140625" style="159" customWidth="1"/>
    <col min="3334" max="3334" width="12.42578125" style="159" customWidth="1"/>
    <col min="3335" max="3335" width="10.5703125" style="159" bestFit="1" customWidth="1"/>
    <col min="3336" max="3336" width="15.28515625" style="159" customWidth="1"/>
    <col min="3337" max="3585" width="9.140625" style="159"/>
    <col min="3586" max="3586" width="10.42578125" style="159" customWidth="1"/>
    <col min="3587" max="3587" width="32.28515625" style="159" customWidth="1"/>
    <col min="3588" max="3588" width="111.140625" style="159" customWidth="1"/>
    <col min="3589" max="3589" width="6.140625" style="159" customWidth="1"/>
    <col min="3590" max="3590" width="12.42578125" style="159" customWidth="1"/>
    <col min="3591" max="3591" width="10.5703125" style="159" bestFit="1" customWidth="1"/>
    <col min="3592" max="3592" width="15.28515625" style="159" customWidth="1"/>
    <col min="3593" max="3841" width="9.140625" style="159"/>
    <col min="3842" max="3842" width="10.42578125" style="159" customWidth="1"/>
    <col min="3843" max="3843" width="32.28515625" style="159" customWidth="1"/>
    <col min="3844" max="3844" width="111.140625" style="159" customWidth="1"/>
    <col min="3845" max="3845" width="6.140625" style="159" customWidth="1"/>
    <col min="3846" max="3846" width="12.42578125" style="159" customWidth="1"/>
    <col min="3847" max="3847" width="10.5703125" style="159" bestFit="1" customWidth="1"/>
    <col min="3848" max="3848" width="15.28515625" style="159" customWidth="1"/>
    <col min="3849" max="4097" width="9.140625" style="159"/>
    <col min="4098" max="4098" width="10.42578125" style="159" customWidth="1"/>
    <col min="4099" max="4099" width="32.28515625" style="159" customWidth="1"/>
    <col min="4100" max="4100" width="111.140625" style="159" customWidth="1"/>
    <col min="4101" max="4101" width="6.140625" style="159" customWidth="1"/>
    <col min="4102" max="4102" width="12.42578125" style="159" customWidth="1"/>
    <col min="4103" max="4103" width="10.5703125" style="159" bestFit="1" customWidth="1"/>
    <col min="4104" max="4104" width="15.28515625" style="159" customWidth="1"/>
    <col min="4105" max="4353" width="9.140625" style="159"/>
    <col min="4354" max="4354" width="10.42578125" style="159" customWidth="1"/>
    <col min="4355" max="4355" width="32.28515625" style="159" customWidth="1"/>
    <col min="4356" max="4356" width="111.140625" style="159" customWidth="1"/>
    <col min="4357" max="4357" width="6.140625" style="159" customWidth="1"/>
    <col min="4358" max="4358" width="12.42578125" style="159" customWidth="1"/>
    <col min="4359" max="4359" width="10.5703125" style="159" bestFit="1" customWidth="1"/>
    <col min="4360" max="4360" width="15.28515625" style="159" customWidth="1"/>
    <col min="4361" max="4609" width="9.140625" style="159"/>
    <col min="4610" max="4610" width="10.42578125" style="159" customWidth="1"/>
    <col min="4611" max="4611" width="32.28515625" style="159" customWidth="1"/>
    <col min="4612" max="4612" width="111.140625" style="159" customWidth="1"/>
    <col min="4613" max="4613" width="6.140625" style="159" customWidth="1"/>
    <col min="4614" max="4614" width="12.42578125" style="159" customWidth="1"/>
    <col min="4615" max="4615" width="10.5703125" style="159" bestFit="1" customWidth="1"/>
    <col min="4616" max="4616" width="15.28515625" style="159" customWidth="1"/>
    <col min="4617" max="4865" width="9.140625" style="159"/>
    <col min="4866" max="4866" width="10.42578125" style="159" customWidth="1"/>
    <col min="4867" max="4867" width="32.28515625" style="159" customWidth="1"/>
    <col min="4868" max="4868" width="111.140625" style="159" customWidth="1"/>
    <col min="4869" max="4869" width="6.140625" style="159" customWidth="1"/>
    <col min="4870" max="4870" width="12.42578125" style="159" customWidth="1"/>
    <col min="4871" max="4871" width="10.5703125" style="159" bestFit="1" customWidth="1"/>
    <col min="4872" max="4872" width="15.28515625" style="159" customWidth="1"/>
    <col min="4873" max="5121" width="9.140625" style="159"/>
    <col min="5122" max="5122" width="10.42578125" style="159" customWidth="1"/>
    <col min="5123" max="5123" width="32.28515625" style="159" customWidth="1"/>
    <col min="5124" max="5124" width="111.140625" style="159" customWidth="1"/>
    <col min="5125" max="5125" width="6.140625" style="159" customWidth="1"/>
    <col min="5126" max="5126" width="12.42578125" style="159" customWidth="1"/>
    <col min="5127" max="5127" width="10.5703125" style="159" bestFit="1" customWidth="1"/>
    <col min="5128" max="5128" width="15.28515625" style="159" customWidth="1"/>
    <col min="5129" max="5377" width="9.140625" style="159"/>
    <col min="5378" max="5378" width="10.42578125" style="159" customWidth="1"/>
    <col min="5379" max="5379" width="32.28515625" style="159" customWidth="1"/>
    <col min="5380" max="5380" width="111.140625" style="159" customWidth="1"/>
    <col min="5381" max="5381" width="6.140625" style="159" customWidth="1"/>
    <col min="5382" max="5382" width="12.42578125" style="159" customWidth="1"/>
    <col min="5383" max="5383" width="10.5703125" style="159" bestFit="1" customWidth="1"/>
    <col min="5384" max="5384" width="15.28515625" style="159" customWidth="1"/>
    <col min="5385" max="5633" width="9.140625" style="159"/>
    <col min="5634" max="5634" width="10.42578125" style="159" customWidth="1"/>
    <col min="5635" max="5635" width="32.28515625" style="159" customWidth="1"/>
    <col min="5636" max="5636" width="111.140625" style="159" customWidth="1"/>
    <col min="5637" max="5637" width="6.140625" style="159" customWidth="1"/>
    <col min="5638" max="5638" width="12.42578125" style="159" customWidth="1"/>
    <col min="5639" max="5639" width="10.5703125" style="159" bestFit="1" customWidth="1"/>
    <col min="5640" max="5640" width="15.28515625" style="159" customWidth="1"/>
    <col min="5641" max="5889" width="9.140625" style="159"/>
    <col min="5890" max="5890" width="10.42578125" style="159" customWidth="1"/>
    <col min="5891" max="5891" width="32.28515625" style="159" customWidth="1"/>
    <col min="5892" max="5892" width="111.140625" style="159" customWidth="1"/>
    <col min="5893" max="5893" width="6.140625" style="159" customWidth="1"/>
    <col min="5894" max="5894" width="12.42578125" style="159" customWidth="1"/>
    <col min="5895" max="5895" width="10.5703125" style="159" bestFit="1" customWidth="1"/>
    <col min="5896" max="5896" width="15.28515625" style="159" customWidth="1"/>
    <col min="5897" max="6145" width="9.140625" style="159"/>
    <col min="6146" max="6146" width="10.42578125" style="159" customWidth="1"/>
    <col min="6147" max="6147" width="32.28515625" style="159" customWidth="1"/>
    <col min="6148" max="6148" width="111.140625" style="159" customWidth="1"/>
    <col min="6149" max="6149" width="6.140625" style="159" customWidth="1"/>
    <col min="6150" max="6150" width="12.42578125" style="159" customWidth="1"/>
    <col min="6151" max="6151" width="10.5703125" style="159" bestFit="1" customWidth="1"/>
    <col min="6152" max="6152" width="15.28515625" style="159" customWidth="1"/>
    <col min="6153" max="6401" width="9.140625" style="159"/>
    <col min="6402" max="6402" width="10.42578125" style="159" customWidth="1"/>
    <col min="6403" max="6403" width="32.28515625" style="159" customWidth="1"/>
    <col min="6404" max="6404" width="111.140625" style="159" customWidth="1"/>
    <col min="6405" max="6405" width="6.140625" style="159" customWidth="1"/>
    <col min="6406" max="6406" width="12.42578125" style="159" customWidth="1"/>
    <col min="6407" max="6407" width="10.5703125" style="159" bestFit="1" customWidth="1"/>
    <col min="6408" max="6408" width="15.28515625" style="159" customWidth="1"/>
    <col min="6409" max="6657" width="9.140625" style="159"/>
    <col min="6658" max="6658" width="10.42578125" style="159" customWidth="1"/>
    <col min="6659" max="6659" width="32.28515625" style="159" customWidth="1"/>
    <col min="6660" max="6660" width="111.140625" style="159" customWidth="1"/>
    <col min="6661" max="6661" width="6.140625" style="159" customWidth="1"/>
    <col min="6662" max="6662" width="12.42578125" style="159" customWidth="1"/>
    <col min="6663" max="6663" width="10.5703125" style="159" bestFit="1" customWidth="1"/>
    <col min="6664" max="6664" width="15.28515625" style="159" customWidth="1"/>
    <col min="6665" max="6913" width="9.140625" style="159"/>
    <col min="6914" max="6914" width="10.42578125" style="159" customWidth="1"/>
    <col min="6915" max="6915" width="32.28515625" style="159" customWidth="1"/>
    <col min="6916" max="6916" width="111.140625" style="159" customWidth="1"/>
    <col min="6917" max="6917" width="6.140625" style="159" customWidth="1"/>
    <col min="6918" max="6918" width="12.42578125" style="159" customWidth="1"/>
    <col min="6919" max="6919" width="10.5703125" style="159" bestFit="1" customWidth="1"/>
    <col min="6920" max="6920" width="15.28515625" style="159" customWidth="1"/>
    <col min="6921" max="7169" width="9.140625" style="159"/>
    <col min="7170" max="7170" width="10.42578125" style="159" customWidth="1"/>
    <col min="7171" max="7171" width="32.28515625" style="159" customWidth="1"/>
    <col min="7172" max="7172" width="111.140625" style="159" customWidth="1"/>
    <col min="7173" max="7173" width="6.140625" style="159" customWidth="1"/>
    <col min="7174" max="7174" width="12.42578125" style="159" customWidth="1"/>
    <col min="7175" max="7175" width="10.5703125" style="159" bestFit="1" customWidth="1"/>
    <col min="7176" max="7176" width="15.28515625" style="159" customWidth="1"/>
    <col min="7177" max="7425" width="9.140625" style="159"/>
    <col min="7426" max="7426" width="10.42578125" style="159" customWidth="1"/>
    <col min="7427" max="7427" width="32.28515625" style="159" customWidth="1"/>
    <col min="7428" max="7428" width="111.140625" style="159" customWidth="1"/>
    <col min="7429" max="7429" width="6.140625" style="159" customWidth="1"/>
    <col min="7430" max="7430" width="12.42578125" style="159" customWidth="1"/>
    <col min="7431" max="7431" width="10.5703125" style="159" bestFit="1" customWidth="1"/>
    <col min="7432" max="7432" width="15.28515625" style="159" customWidth="1"/>
    <col min="7433" max="7681" width="9.140625" style="159"/>
    <col min="7682" max="7682" width="10.42578125" style="159" customWidth="1"/>
    <col min="7683" max="7683" width="32.28515625" style="159" customWidth="1"/>
    <col min="7684" max="7684" width="111.140625" style="159" customWidth="1"/>
    <col min="7685" max="7685" width="6.140625" style="159" customWidth="1"/>
    <col min="7686" max="7686" width="12.42578125" style="159" customWidth="1"/>
    <col min="7687" max="7687" width="10.5703125" style="159" bestFit="1" customWidth="1"/>
    <col min="7688" max="7688" width="15.28515625" style="159" customWidth="1"/>
    <col min="7689" max="7937" width="9.140625" style="159"/>
    <col min="7938" max="7938" width="10.42578125" style="159" customWidth="1"/>
    <col min="7939" max="7939" width="32.28515625" style="159" customWidth="1"/>
    <col min="7940" max="7940" width="111.140625" style="159" customWidth="1"/>
    <col min="7941" max="7941" width="6.140625" style="159" customWidth="1"/>
    <col min="7942" max="7942" width="12.42578125" style="159" customWidth="1"/>
    <col min="7943" max="7943" width="10.5703125" style="159" bestFit="1" customWidth="1"/>
    <col min="7944" max="7944" width="15.28515625" style="159" customWidth="1"/>
    <col min="7945" max="8193" width="9.140625" style="159"/>
    <col min="8194" max="8194" width="10.42578125" style="159" customWidth="1"/>
    <col min="8195" max="8195" width="32.28515625" style="159" customWidth="1"/>
    <col min="8196" max="8196" width="111.140625" style="159" customWidth="1"/>
    <col min="8197" max="8197" width="6.140625" style="159" customWidth="1"/>
    <col min="8198" max="8198" width="12.42578125" style="159" customWidth="1"/>
    <col min="8199" max="8199" width="10.5703125" style="159" bestFit="1" customWidth="1"/>
    <col min="8200" max="8200" width="15.28515625" style="159" customWidth="1"/>
    <col min="8201" max="8449" width="9.140625" style="159"/>
    <col min="8450" max="8450" width="10.42578125" style="159" customWidth="1"/>
    <col min="8451" max="8451" width="32.28515625" style="159" customWidth="1"/>
    <col min="8452" max="8452" width="111.140625" style="159" customWidth="1"/>
    <col min="8453" max="8453" width="6.140625" style="159" customWidth="1"/>
    <col min="8454" max="8454" width="12.42578125" style="159" customWidth="1"/>
    <col min="8455" max="8455" width="10.5703125" style="159" bestFit="1" customWidth="1"/>
    <col min="8456" max="8456" width="15.28515625" style="159" customWidth="1"/>
    <col min="8457" max="8705" width="9.140625" style="159"/>
    <col min="8706" max="8706" width="10.42578125" style="159" customWidth="1"/>
    <col min="8707" max="8707" width="32.28515625" style="159" customWidth="1"/>
    <col min="8708" max="8708" width="111.140625" style="159" customWidth="1"/>
    <col min="8709" max="8709" width="6.140625" style="159" customWidth="1"/>
    <col min="8710" max="8710" width="12.42578125" style="159" customWidth="1"/>
    <col min="8711" max="8711" width="10.5703125" style="159" bestFit="1" customWidth="1"/>
    <col min="8712" max="8712" width="15.28515625" style="159" customWidth="1"/>
    <col min="8713" max="8961" width="9.140625" style="159"/>
    <col min="8962" max="8962" width="10.42578125" style="159" customWidth="1"/>
    <col min="8963" max="8963" width="32.28515625" style="159" customWidth="1"/>
    <col min="8964" max="8964" width="111.140625" style="159" customWidth="1"/>
    <col min="8965" max="8965" width="6.140625" style="159" customWidth="1"/>
    <col min="8966" max="8966" width="12.42578125" style="159" customWidth="1"/>
    <col min="8967" max="8967" width="10.5703125" style="159" bestFit="1" customWidth="1"/>
    <col min="8968" max="8968" width="15.28515625" style="159" customWidth="1"/>
    <col min="8969" max="9217" width="9.140625" style="159"/>
    <col min="9218" max="9218" width="10.42578125" style="159" customWidth="1"/>
    <col min="9219" max="9219" width="32.28515625" style="159" customWidth="1"/>
    <col min="9220" max="9220" width="111.140625" style="159" customWidth="1"/>
    <col min="9221" max="9221" width="6.140625" style="159" customWidth="1"/>
    <col min="9222" max="9222" width="12.42578125" style="159" customWidth="1"/>
    <col min="9223" max="9223" width="10.5703125" style="159" bestFit="1" customWidth="1"/>
    <col min="9224" max="9224" width="15.28515625" style="159" customWidth="1"/>
    <col min="9225" max="9473" width="9.140625" style="159"/>
    <col min="9474" max="9474" width="10.42578125" style="159" customWidth="1"/>
    <col min="9475" max="9475" width="32.28515625" style="159" customWidth="1"/>
    <col min="9476" max="9476" width="111.140625" style="159" customWidth="1"/>
    <col min="9477" max="9477" width="6.140625" style="159" customWidth="1"/>
    <col min="9478" max="9478" width="12.42578125" style="159" customWidth="1"/>
    <col min="9479" max="9479" width="10.5703125" style="159" bestFit="1" customWidth="1"/>
    <col min="9480" max="9480" width="15.28515625" style="159" customWidth="1"/>
    <col min="9481" max="9729" width="9.140625" style="159"/>
    <col min="9730" max="9730" width="10.42578125" style="159" customWidth="1"/>
    <col min="9731" max="9731" width="32.28515625" style="159" customWidth="1"/>
    <col min="9732" max="9732" width="111.140625" style="159" customWidth="1"/>
    <col min="9733" max="9733" width="6.140625" style="159" customWidth="1"/>
    <col min="9734" max="9734" width="12.42578125" style="159" customWidth="1"/>
    <col min="9735" max="9735" width="10.5703125" style="159" bestFit="1" customWidth="1"/>
    <col min="9736" max="9736" width="15.28515625" style="159" customWidth="1"/>
    <col min="9737" max="9985" width="9.140625" style="159"/>
    <col min="9986" max="9986" width="10.42578125" style="159" customWidth="1"/>
    <col min="9987" max="9987" width="32.28515625" style="159" customWidth="1"/>
    <col min="9988" max="9988" width="111.140625" style="159" customWidth="1"/>
    <col min="9989" max="9989" width="6.140625" style="159" customWidth="1"/>
    <col min="9990" max="9990" width="12.42578125" style="159" customWidth="1"/>
    <col min="9991" max="9991" width="10.5703125" style="159" bestFit="1" customWidth="1"/>
    <col min="9992" max="9992" width="15.28515625" style="159" customWidth="1"/>
    <col min="9993" max="10241" width="9.140625" style="159"/>
    <col min="10242" max="10242" width="10.42578125" style="159" customWidth="1"/>
    <col min="10243" max="10243" width="32.28515625" style="159" customWidth="1"/>
    <col min="10244" max="10244" width="111.140625" style="159" customWidth="1"/>
    <col min="10245" max="10245" width="6.140625" style="159" customWidth="1"/>
    <col min="10246" max="10246" width="12.42578125" style="159" customWidth="1"/>
    <col min="10247" max="10247" width="10.5703125" style="159" bestFit="1" customWidth="1"/>
    <col min="10248" max="10248" width="15.28515625" style="159" customWidth="1"/>
    <col min="10249" max="10497" width="9.140625" style="159"/>
    <col min="10498" max="10498" width="10.42578125" style="159" customWidth="1"/>
    <col min="10499" max="10499" width="32.28515625" style="159" customWidth="1"/>
    <col min="10500" max="10500" width="111.140625" style="159" customWidth="1"/>
    <col min="10501" max="10501" width="6.140625" style="159" customWidth="1"/>
    <col min="10502" max="10502" width="12.42578125" style="159" customWidth="1"/>
    <col min="10503" max="10503" width="10.5703125" style="159" bestFit="1" customWidth="1"/>
    <col min="10504" max="10504" width="15.28515625" style="159" customWidth="1"/>
    <col min="10505" max="10753" width="9.140625" style="159"/>
    <col min="10754" max="10754" width="10.42578125" style="159" customWidth="1"/>
    <col min="10755" max="10755" width="32.28515625" style="159" customWidth="1"/>
    <col min="10756" max="10756" width="111.140625" style="159" customWidth="1"/>
    <col min="10757" max="10757" width="6.140625" style="159" customWidth="1"/>
    <col min="10758" max="10758" width="12.42578125" style="159" customWidth="1"/>
    <col min="10759" max="10759" width="10.5703125" style="159" bestFit="1" customWidth="1"/>
    <col min="10760" max="10760" width="15.28515625" style="159" customWidth="1"/>
    <col min="10761" max="11009" width="9.140625" style="159"/>
    <col min="11010" max="11010" width="10.42578125" style="159" customWidth="1"/>
    <col min="11011" max="11011" width="32.28515625" style="159" customWidth="1"/>
    <col min="11012" max="11012" width="111.140625" style="159" customWidth="1"/>
    <col min="11013" max="11013" width="6.140625" style="159" customWidth="1"/>
    <col min="11014" max="11014" width="12.42578125" style="159" customWidth="1"/>
    <col min="11015" max="11015" width="10.5703125" style="159" bestFit="1" customWidth="1"/>
    <col min="11016" max="11016" width="15.28515625" style="159" customWidth="1"/>
    <col min="11017" max="11265" width="9.140625" style="159"/>
    <col min="11266" max="11266" width="10.42578125" style="159" customWidth="1"/>
    <col min="11267" max="11267" width="32.28515625" style="159" customWidth="1"/>
    <col min="11268" max="11268" width="111.140625" style="159" customWidth="1"/>
    <col min="11269" max="11269" width="6.140625" style="159" customWidth="1"/>
    <col min="11270" max="11270" width="12.42578125" style="159" customWidth="1"/>
    <col min="11271" max="11271" width="10.5703125" style="159" bestFit="1" customWidth="1"/>
    <col min="11272" max="11272" width="15.28515625" style="159" customWidth="1"/>
    <col min="11273" max="11521" width="9.140625" style="159"/>
    <col min="11522" max="11522" width="10.42578125" style="159" customWidth="1"/>
    <col min="11523" max="11523" width="32.28515625" style="159" customWidth="1"/>
    <col min="11524" max="11524" width="111.140625" style="159" customWidth="1"/>
    <col min="11525" max="11525" width="6.140625" style="159" customWidth="1"/>
    <col min="11526" max="11526" width="12.42578125" style="159" customWidth="1"/>
    <col min="11527" max="11527" width="10.5703125" style="159" bestFit="1" customWidth="1"/>
    <col min="11528" max="11528" width="15.28515625" style="159" customWidth="1"/>
    <col min="11529" max="11777" width="9.140625" style="159"/>
    <col min="11778" max="11778" width="10.42578125" style="159" customWidth="1"/>
    <col min="11779" max="11779" width="32.28515625" style="159" customWidth="1"/>
    <col min="11780" max="11780" width="111.140625" style="159" customWidth="1"/>
    <col min="11781" max="11781" width="6.140625" style="159" customWidth="1"/>
    <col min="11782" max="11782" width="12.42578125" style="159" customWidth="1"/>
    <col min="11783" max="11783" width="10.5703125" style="159" bestFit="1" customWidth="1"/>
    <col min="11784" max="11784" width="15.28515625" style="159" customWidth="1"/>
    <col min="11785" max="12033" width="9.140625" style="159"/>
    <col min="12034" max="12034" width="10.42578125" style="159" customWidth="1"/>
    <col min="12035" max="12035" width="32.28515625" style="159" customWidth="1"/>
    <col min="12036" max="12036" width="111.140625" style="159" customWidth="1"/>
    <col min="12037" max="12037" width="6.140625" style="159" customWidth="1"/>
    <col min="12038" max="12038" width="12.42578125" style="159" customWidth="1"/>
    <col min="12039" max="12039" width="10.5703125" style="159" bestFit="1" customWidth="1"/>
    <col min="12040" max="12040" width="15.28515625" style="159" customWidth="1"/>
    <col min="12041" max="12289" width="9.140625" style="159"/>
    <col min="12290" max="12290" width="10.42578125" style="159" customWidth="1"/>
    <col min="12291" max="12291" width="32.28515625" style="159" customWidth="1"/>
    <col min="12292" max="12292" width="111.140625" style="159" customWidth="1"/>
    <col min="12293" max="12293" width="6.140625" style="159" customWidth="1"/>
    <col min="12294" max="12294" width="12.42578125" style="159" customWidth="1"/>
    <col min="12295" max="12295" width="10.5703125" style="159" bestFit="1" customWidth="1"/>
    <col min="12296" max="12296" width="15.28515625" style="159" customWidth="1"/>
    <col min="12297" max="12545" width="9.140625" style="159"/>
    <col min="12546" max="12546" width="10.42578125" style="159" customWidth="1"/>
    <col min="12547" max="12547" width="32.28515625" style="159" customWidth="1"/>
    <col min="12548" max="12548" width="111.140625" style="159" customWidth="1"/>
    <col min="12549" max="12549" width="6.140625" style="159" customWidth="1"/>
    <col min="12550" max="12550" width="12.42578125" style="159" customWidth="1"/>
    <col min="12551" max="12551" width="10.5703125" style="159" bestFit="1" customWidth="1"/>
    <col min="12552" max="12552" width="15.28515625" style="159" customWidth="1"/>
    <col min="12553" max="12801" width="9.140625" style="159"/>
    <col min="12802" max="12802" width="10.42578125" style="159" customWidth="1"/>
    <col min="12803" max="12803" width="32.28515625" style="159" customWidth="1"/>
    <col min="12804" max="12804" width="111.140625" style="159" customWidth="1"/>
    <col min="12805" max="12805" width="6.140625" style="159" customWidth="1"/>
    <col min="12806" max="12806" width="12.42578125" style="159" customWidth="1"/>
    <col min="12807" max="12807" width="10.5703125" style="159" bestFit="1" customWidth="1"/>
    <col min="12808" max="12808" width="15.28515625" style="159" customWidth="1"/>
    <col min="12809" max="13057" width="9.140625" style="159"/>
    <col min="13058" max="13058" width="10.42578125" style="159" customWidth="1"/>
    <col min="13059" max="13059" width="32.28515625" style="159" customWidth="1"/>
    <col min="13060" max="13060" width="111.140625" style="159" customWidth="1"/>
    <col min="13061" max="13061" width="6.140625" style="159" customWidth="1"/>
    <col min="13062" max="13062" width="12.42578125" style="159" customWidth="1"/>
    <col min="13063" max="13063" width="10.5703125" style="159" bestFit="1" customWidth="1"/>
    <col min="13064" max="13064" width="15.28515625" style="159" customWidth="1"/>
    <col min="13065" max="13313" width="9.140625" style="159"/>
    <col min="13314" max="13314" width="10.42578125" style="159" customWidth="1"/>
    <col min="13315" max="13315" width="32.28515625" style="159" customWidth="1"/>
    <col min="13316" max="13316" width="111.140625" style="159" customWidth="1"/>
    <col min="13317" max="13317" width="6.140625" style="159" customWidth="1"/>
    <col min="13318" max="13318" width="12.42578125" style="159" customWidth="1"/>
    <col min="13319" max="13319" width="10.5703125" style="159" bestFit="1" customWidth="1"/>
    <col min="13320" max="13320" width="15.28515625" style="159" customWidth="1"/>
    <col min="13321" max="13569" width="9.140625" style="159"/>
    <col min="13570" max="13570" width="10.42578125" style="159" customWidth="1"/>
    <col min="13571" max="13571" width="32.28515625" style="159" customWidth="1"/>
    <col min="13572" max="13572" width="111.140625" style="159" customWidth="1"/>
    <col min="13573" max="13573" width="6.140625" style="159" customWidth="1"/>
    <col min="13574" max="13574" width="12.42578125" style="159" customWidth="1"/>
    <col min="13575" max="13575" width="10.5703125" style="159" bestFit="1" customWidth="1"/>
    <col min="13576" max="13576" width="15.28515625" style="159" customWidth="1"/>
    <col min="13577" max="13825" width="9.140625" style="159"/>
    <col min="13826" max="13826" width="10.42578125" style="159" customWidth="1"/>
    <col min="13827" max="13827" width="32.28515625" style="159" customWidth="1"/>
    <col min="13828" max="13828" width="111.140625" style="159" customWidth="1"/>
    <col min="13829" max="13829" width="6.140625" style="159" customWidth="1"/>
    <col min="13830" max="13830" width="12.42578125" style="159" customWidth="1"/>
    <col min="13831" max="13831" width="10.5703125" style="159" bestFit="1" customWidth="1"/>
    <col min="13832" max="13832" width="15.28515625" style="159" customWidth="1"/>
    <col min="13833" max="14081" width="9.140625" style="159"/>
    <col min="14082" max="14082" width="10.42578125" style="159" customWidth="1"/>
    <col min="14083" max="14083" width="32.28515625" style="159" customWidth="1"/>
    <col min="14084" max="14084" width="111.140625" style="159" customWidth="1"/>
    <col min="14085" max="14085" width="6.140625" style="159" customWidth="1"/>
    <col min="14086" max="14086" width="12.42578125" style="159" customWidth="1"/>
    <col min="14087" max="14087" width="10.5703125" style="159" bestFit="1" customWidth="1"/>
    <col min="14088" max="14088" width="15.28515625" style="159" customWidth="1"/>
    <col min="14089" max="14337" width="9.140625" style="159"/>
    <col min="14338" max="14338" width="10.42578125" style="159" customWidth="1"/>
    <col min="14339" max="14339" width="32.28515625" style="159" customWidth="1"/>
    <col min="14340" max="14340" width="111.140625" style="159" customWidth="1"/>
    <col min="14341" max="14341" width="6.140625" style="159" customWidth="1"/>
    <col min="14342" max="14342" width="12.42578125" style="159" customWidth="1"/>
    <col min="14343" max="14343" width="10.5703125" style="159" bestFit="1" customWidth="1"/>
    <col min="14344" max="14344" width="15.28515625" style="159" customWidth="1"/>
    <col min="14345" max="14593" width="9.140625" style="159"/>
    <col min="14594" max="14594" width="10.42578125" style="159" customWidth="1"/>
    <col min="14595" max="14595" width="32.28515625" style="159" customWidth="1"/>
    <col min="14596" max="14596" width="111.140625" style="159" customWidth="1"/>
    <col min="14597" max="14597" width="6.140625" style="159" customWidth="1"/>
    <col min="14598" max="14598" width="12.42578125" style="159" customWidth="1"/>
    <col min="14599" max="14599" width="10.5703125" style="159" bestFit="1" customWidth="1"/>
    <col min="14600" max="14600" width="15.28515625" style="159" customWidth="1"/>
    <col min="14601" max="14849" width="9.140625" style="159"/>
    <col min="14850" max="14850" width="10.42578125" style="159" customWidth="1"/>
    <col min="14851" max="14851" width="32.28515625" style="159" customWidth="1"/>
    <col min="14852" max="14852" width="111.140625" style="159" customWidth="1"/>
    <col min="14853" max="14853" width="6.140625" style="159" customWidth="1"/>
    <col min="14854" max="14854" width="12.42578125" style="159" customWidth="1"/>
    <col min="14855" max="14855" width="10.5703125" style="159" bestFit="1" customWidth="1"/>
    <col min="14856" max="14856" width="15.28515625" style="159" customWidth="1"/>
    <col min="14857" max="15105" width="9.140625" style="159"/>
    <col min="15106" max="15106" width="10.42578125" style="159" customWidth="1"/>
    <col min="15107" max="15107" width="32.28515625" style="159" customWidth="1"/>
    <col min="15108" max="15108" width="111.140625" style="159" customWidth="1"/>
    <col min="15109" max="15109" width="6.140625" style="159" customWidth="1"/>
    <col min="15110" max="15110" width="12.42578125" style="159" customWidth="1"/>
    <col min="15111" max="15111" width="10.5703125" style="159" bestFit="1" customWidth="1"/>
    <col min="15112" max="15112" width="15.28515625" style="159" customWidth="1"/>
    <col min="15113" max="15361" width="9.140625" style="159"/>
    <col min="15362" max="15362" width="10.42578125" style="159" customWidth="1"/>
    <col min="15363" max="15363" width="32.28515625" style="159" customWidth="1"/>
    <col min="15364" max="15364" width="111.140625" style="159" customWidth="1"/>
    <col min="15365" max="15365" width="6.140625" style="159" customWidth="1"/>
    <col min="15366" max="15366" width="12.42578125" style="159" customWidth="1"/>
    <col min="15367" max="15367" width="10.5703125" style="159" bestFit="1" customWidth="1"/>
    <col min="15368" max="15368" width="15.28515625" style="159" customWidth="1"/>
    <col min="15369" max="15617" width="9.140625" style="159"/>
    <col min="15618" max="15618" width="10.42578125" style="159" customWidth="1"/>
    <col min="15619" max="15619" width="32.28515625" style="159" customWidth="1"/>
    <col min="15620" max="15620" width="111.140625" style="159" customWidth="1"/>
    <col min="15621" max="15621" width="6.140625" style="159" customWidth="1"/>
    <col min="15622" max="15622" width="12.42578125" style="159" customWidth="1"/>
    <col min="15623" max="15623" width="10.5703125" style="159" bestFit="1" customWidth="1"/>
    <col min="15624" max="15624" width="15.28515625" style="159" customWidth="1"/>
    <col min="15625" max="15873" width="9.140625" style="159"/>
    <col min="15874" max="15874" width="10.42578125" style="159" customWidth="1"/>
    <col min="15875" max="15875" width="32.28515625" style="159" customWidth="1"/>
    <col min="15876" max="15876" width="111.140625" style="159" customWidth="1"/>
    <col min="15877" max="15877" width="6.140625" style="159" customWidth="1"/>
    <col min="15878" max="15878" width="12.42578125" style="159" customWidth="1"/>
    <col min="15879" max="15879" width="10.5703125" style="159" bestFit="1" customWidth="1"/>
    <col min="15880" max="15880" width="15.28515625" style="159" customWidth="1"/>
    <col min="15881" max="16129" width="9.140625" style="159"/>
    <col min="16130" max="16130" width="10.42578125" style="159" customWidth="1"/>
    <col min="16131" max="16131" width="32.28515625" style="159" customWidth="1"/>
    <col min="16132" max="16132" width="111.140625" style="159" customWidth="1"/>
    <col min="16133" max="16133" width="6.140625" style="159" customWidth="1"/>
    <col min="16134" max="16134" width="12.42578125" style="159" customWidth="1"/>
    <col min="16135" max="16135" width="10.5703125" style="159" bestFit="1" customWidth="1"/>
    <col min="16136" max="16136" width="15.28515625" style="159" customWidth="1"/>
    <col min="16137" max="16384" width="9.140625" style="159"/>
  </cols>
  <sheetData>
    <row r="1" spans="1:8" s="181" customFormat="1" ht="45" x14ac:dyDescent="0.2">
      <c r="A1" s="136" t="s">
        <v>508</v>
      </c>
      <c r="B1" s="136" t="s">
        <v>509</v>
      </c>
      <c r="C1" s="136" t="s">
        <v>510</v>
      </c>
      <c r="D1" s="136" t="s">
        <v>511</v>
      </c>
      <c r="E1" s="137" t="s">
        <v>512</v>
      </c>
      <c r="F1" s="137" t="s">
        <v>1467</v>
      </c>
      <c r="G1" s="136" t="s">
        <v>513</v>
      </c>
      <c r="H1" s="137" t="s">
        <v>1468</v>
      </c>
    </row>
    <row r="2" spans="1:8" x14ac:dyDescent="0.2">
      <c r="A2" s="138" t="s">
        <v>514</v>
      </c>
      <c r="B2" s="138" t="s">
        <v>515</v>
      </c>
      <c r="C2" s="150" t="s">
        <v>529</v>
      </c>
      <c r="D2" s="138" t="s">
        <v>452</v>
      </c>
      <c r="E2" s="182">
        <v>1.75</v>
      </c>
      <c r="F2" s="182">
        <v>2.0121000000000002</v>
      </c>
      <c r="G2" s="183">
        <v>200</v>
      </c>
      <c r="H2" s="182">
        <f>G2*F2*1.19</f>
        <v>478.87980000000005</v>
      </c>
    </row>
    <row r="3" spans="1:8" x14ac:dyDescent="0.2">
      <c r="A3" s="138" t="s">
        <v>514</v>
      </c>
      <c r="B3" s="138" t="s">
        <v>515</v>
      </c>
      <c r="C3" s="150" t="s">
        <v>534</v>
      </c>
      <c r="D3" s="138" t="s">
        <v>452</v>
      </c>
      <c r="E3" s="182">
        <v>25</v>
      </c>
      <c r="F3" s="182">
        <f t="shared" ref="F3:F66" si="0">E3*1.15</f>
        <v>28.749999999999996</v>
      </c>
      <c r="G3" s="183">
        <f>4*12</f>
        <v>48</v>
      </c>
      <c r="H3" s="182">
        <f t="shared" ref="H3:H66" si="1">G3*F3*1.19</f>
        <v>1642.1999999999996</v>
      </c>
    </row>
    <row r="4" spans="1:8" x14ac:dyDescent="0.2">
      <c r="A4" s="138" t="s">
        <v>514</v>
      </c>
      <c r="B4" s="138" t="s">
        <v>515</v>
      </c>
      <c r="C4" s="150" t="s">
        <v>516</v>
      </c>
      <c r="D4" s="138" t="s">
        <v>452</v>
      </c>
      <c r="E4" s="182">
        <v>8.2200000000000006</v>
      </c>
      <c r="F4" s="182">
        <f t="shared" si="0"/>
        <v>9.4529999999999994</v>
      </c>
      <c r="G4" s="183">
        <v>195</v>
      </c>
      <c r="H4" s="182">
        <f t="shared" si="1"/>
        <v>2193.5686499999997</v>
      </c>
    </row>
    <row r="5" spans="1:8" x14ac:dyDescent="0.2">
      <c r="A5" s="138" t="s">
        <v>514</v>
      </c>
      <c r="B5" s="138" t="s">
        <v>515</v>
      </c>
      <c r="C5" s="150" t="s">
        <v>517</v>
      </c>
      <c r="D5" s="138" t="s">
        <v>519</v>
      </c>
      <c r="E5" s="182">
        <v>4.88</v>
      </c>
      <c r="F5" s="182">
        <f t="shared" si="0"/>
        <v>5.6119999999999992</v>
      </c>
      <c r="G5" s="183">
        <v>250</v>
      </c>
      <c r="H5" s="182">
        <f t="shared" si="1"/>
        <v>1669.5699999999997</v>
      </c>
    </row>
    <row r="6" spans="1:8" x14ac:dyDescent="0.2">
      <c r="A6" s="138" t="s">
        <v>514</v>
      </c>
      <c r="B6" s="138" t="s">
        <v>515</v>
      </c>
      <c r="C6" s="150" t="s">
        <v>518</v>
      </c>
      <c r="D6" s="138" t="s">
        <v>452</v>
      </c>
      <c r="E6" s="182">
        <v>0.56000000000000005</v>
      </c>
      <c r="F6" s="182">
        <f t="shared" si="0"/>
        <v>0.64400000000000002</v>
      </c>
      <c r="G6" s="183">
        <v>550</v>
      </c>
      <c r="H6" s="182">
        <f t="shared" si="1"/>
        <v>421.49799999999999</v>
      </c>
    </row>
    <row r="7" spans="1:8" x14ac:dyDescent="0.2">
      <c r="A7" s="138" t="s">
        <v>514</v>
      </c>
      <c r="B7" s="138" t="s">
        <v>515</v>
      </c>
      <c r="C7" s="138" t="s">
        <v>977</v>
      </c>
      <c r="D7" s="138" t="s">
        <v>452</v>
      </c>
      <c r="E7" s="182">
        <v>176.4</v>
      </c>
      <c r="F7" s="182">
        <f t="shared" si="0"/>
        <v>202.85999999999999</v>
      </c>
      <c r="G7" s="183">
        <v>10</v>
      </c>
      <c r="H7" s="182">
        <f t="shared" si="1"/>
        <v>2414.0339999999997</v>
      </c>
    </row>
    <row r="8" spans="1:8" x14ac:dyDescent="0.2">
      <c r="A8" s="138" t="s">
        <v>514</v>
      </c>
      <c r="B8" s="138" t="s">
        <v>515</v>
      </c>
      <c r="C8" s="150" t="s">
        <v>531</v>
      </c>
      <c r="D8" s="138" t="s">
        <v>452</v>
      </c>
      <c r="E8" s="182">
        <v>1.02</v>
      </c>
      <c r="F8" s="182">
        <f t="shared" si="0"/>
        <v>1.1729999999999998</v>
      </c>
      <c r="G8" s="183">
        <v>5000</v>
      </c>
      <c r="H8" s="182">
        <f t="shared" si="1"/>
        <v>6979.3499999999985</v>
      </c>
    </row>
    <row r="9" spans="1:8" x14ac:dyDescent="0.2">
      <c r="A9" s="138" t="s">
        <v>514</v>
      </c>
      <c r="B9" s="138" t="s">
        <v>515</v>
      </c>
      <c r="C9" s="150" t="s">
        <v>535</v>
      </c>
      <c r="D9" s="138" t="s">
        <v>452</v>
      </c>
      <c r="E9" s="182">
        <v>9</v>
      </c>
      <c r="F9" s="182">
        <f t="shared" si="0"/>
        <v>10.35</v>
      </c>
      <c r="G9" s="183">
        <v>50</v>
      </c>
      <c r="H9" s="182">
        <f t="shared" si="1"/>
        <v>615.82499999999993</v>
      </c>
    </row>
    <row r="10" spans="1:8" x14ac:dyDescent="0.2">
      <c r="A10" s="138" t="s">
        <v>514</v>
      </c>
      <c r="B10" s="138" t="s">
        <v>515</v>
      </c>
      <c r="C10" s="150" t="s">
        <v>520</v>
      </c>
      <c r="D10" s="138" t="s">
        <v>452</v>
      </c>
      <c r="E10" s="182">
        <v>1.62</v>
      </c>
      <c r="F10" s="182">
        <f t="shared" si="0"/>
        <v>1.863</v>
      </c>
      <c r="G10" s="183">
        <v>100</v>
      </c>
      <c r="H10" s="182">
        <f t="shared" si="1"/>
        <v>221.697</v>
      </c>
    </row>
    <row r="11" spans="1:8" x14ac:dyDescent="0.2">
      <c r="A11" s="138" t="s">
        <v>514</v>
      </c>
      <c r="B11" s="138" t="s">
        <v>515</v>
      </c>
      <c r="C11" s="150" t="s">
        <v>521</v>
      </c>
      <c r="D11" s="138" t="s">
        <v>452</v>
      </c>
      <c r="E11" s="182">
        <v>0.46</v>
      </c>
      <c r="F11" s="182">
        <f t="shared" si="0"/>
        <v>0.52900000000000003</v>
      </c>
      <c r="G11" s="183">
        <v>4000</v>
      </c>
      <c r="H11" s="182">
        <f t="shared" si="1"/>
        <v>2518.04</v>
      </c>
    </row>
    <row r="12" spans="1:8" x14ac:dyDescent="0.2">
      <c r="A12" s="138" t="s">
        <v>514</v>
      </c>
      <c r="B12" s="138" t="s">
        <v>515</v>
      </c>
      <c r="C12" s="150" t="s">
        <v>522</v>
      </c>
      <c r="D12" s="138" t="s">
        <v>524</v>
      </c>
      <c r="E12" s="182">
        <v>0.43</v>
      </c>
      <c r="F12" s="182">
        <f t="shared" si="0"/>
        <v>0.49449999999999994</v>
      </c>
      <c r="G12" s="183">
        <v>15000</v>
      </c>
      <c r="H12" s="182">
        <f t="shared" si="1"/>
        <v>8826.8249999999989</v>
      </c>
    </row>
    <row r="13" spans="1:8" x14ac:dyDescent="0.2">
      <c r="A13" s="138" t="s">
        <v>514</v>
      </c>
      <c r="B13" s="138" t="s">
        <v>515</v>
      </c>
      <c r="C13" s="150" t="s">
        <v>530</v>
      </c>
      <c r="D13" s="138" t="s">
        <v>524</v>
      </c>
      <c r="E13" s="182">
        <v>1.23</v>
      </c>
      <c r="F13" s="182">
        <f t="shared" si="0"/>
        <v>1.4144999999999999</v>
      </c>
      <c r="G13" s="183">
        <v>2200</v>
      </c>
      <c r="H13" s="182">
        <f t="shared" si="1"/>
        <v>3703.1609999999996</v>
      </c>
    </row>
    <row r="14" spans="1:8" x14ac:dyDescent="0.2">
      <c r="A14" s="138" t="s">
        <v>514</v>
      </c>
      <c r="B14" s="138" t="s">
        <v>515</v>
      </c>
      <c r="C14" s="150" t="s">
        <v>536</v>
      </c>
      <c r="D14" s="138" t="s">
        <v>452</v>
      </c>
      <c r="E14" s="182">
        <v>19</v>
      </c>
      <c r="F14" s="182">
        <f t="shared" si="0"/>
        <v>21.849999999999998</v>
      </c>
      <c r="G14" s="183">
        <v>20</v>
      </c>
      <c r="H14" s="182">
        <f t="shared" si="1"/>
        <v>520.02999999999986</v>
      </c>
    </row>
    <row r="15" spans="1:8" x14ac:dyDescent="0.2">
      <c r="A15" s="138" t="s">
        <v>514</v>
      </c>
      <c r="B15" s="138" t="s">
        <v>515</v>
      </c>
      <c r="C15" s="150" t="s">
        <v>532</v>
      </c>
      <c r="D15" s="138" t="s">
        <v>452</v>
      </c>
      <c r="E15" s="182">
        <v>6.86</v>
      </c>
      <c r="F15" s="182">
        <f t="shared" si="0"/>
        <v>7.8889999999999993</v>
      </c>
      <c r="G15" s="183">
        <v>100</v>
      </c>
      <c r="H15" s="182">
        <f t="shared" si="1"/>
        <v>938.79099999999994</v>
      </c>
    </row>
    <row r="16" spans="1:8" x14ac:dyDescent="0.2">
      <c r="A16" s="138" t="s">
        <v>514</v>
      </c>
      <c r="B16" s="138" t="s">
        <v>515</v>
      </c>
      <c r="C16" s="150" t="s">
        <v>523</v>
      </c>
      <c r="D16" s="138" t="s">
        <v>452</v>
      </c>
      <c r="E16" s="182">
        <v>14</v>
      </c>
      <c r="F16" s="182">
        <f t="shared" si="0"/>
        <v>16.099999999999998</v>
      </c>
      <c r="G16" s="183">
        <v>1900</v>
      </c>
      <c r="H16" s="182">
        <f t="shared" si="1"/>
        <v>36402.099999999991</v>
      </c>
    </row>
    <row r="17" spans="1:8" x14ac:dyDescent="0.2">
      <c r="A17" s="138" t="s">
        <v>514</v>
      </c>
      <c r="B17" s="138" t="s">
        <v>515</v>
      </c>
      <c r="C17" s="150" t="s">
        <v>525</v>
      </c>
      <c r="D17" s="138" t="s">
        <v>452</v>
      </c>
      <c r="E17" s="182">
        <v>1.64</v>
      </c>
      <c r="F17" s="182">
        <f t="shared" si="0"/>
        <v>1.8859999999999997</v>
      </c>
      <c r="G17" s="183">
        <v>250</v>
      </c>
      <c r="H17" s="182">
        <f t="shared" si="1"/>
        <v>561.08499999999992</v>
      </c>
    </row>
    <row r="18" spans="1:8" x14ac:dyDescent="0.2">
      <c r="A18" s="138" t="s">
        <v>514</v>
      </c>
      <c r="B18" s="138" t="s">
        <v>515</v>
      </c>
      <c r="C18" s="150" t="s">
        <v>526</v>
      </c>
      <c r="D18" s="138" t="s">
        <v>452</v>
      </c>
      <c r="E18" s="182">
        <v>0.86</v>
      </c>
      <c r="F18" s="182">
        <f t="shared" si="0"/>
        <v>0.98899999999999988</v>
      </c>
      <c r="G18" s="183">
        <v>1600</v>
      </c>
      <c r="H18" s="182">
        <f t="shared" si="1"/>
        <v>1883.0559999999998</v>
      </c>
    </row>
    <row r="19" spans="1:8" x14ac:dyDescent="0.2">
      <c r="A19" s="138" t="s">
        <v>514</v>
      </c>
      <c r="B19" s="138" t="s">
        <v>515</v>
      </c>
      <c r="C19" s="150" t="s">
        <v>983</v>
      </c>
      <c r="D19" s="138" t="s">
        <v>452</v>
      </c>
      <c r="E19" s="182">
        <v>0.1</v>
      </c>
      <c r="F19" s="182">
        <f t="shared" si="0"/>
        <v>0.11499999999999999</v>
      </c>
      <c r="G19" s="183">
        <v>5200</v>
      </c>
      <c r="H19" s="182">
        <f t="shared" si="1"/>
        <v>711.62</v>
      </c>
    </row>
    <row r="20" spans="1:8" x14ac:dyDescent="0.2">
      <c r="A20" s="138" t="s">
        <v>514</v>
      </c>
      <c r="B20" s="138" t="s">
        <v>515</v>
      </c>
      <c r="C20" s="150" t="s">
        <v>984</v>
      </c>
      <c r="D20" s="138" t="s">
        <v>452</v>
      </c>
      <c r="E20" s="182">
        <v>0.12</v>
      </c>
      <c r="F20" s="182">
        <f t="shared" si="0"/>
        <v>0.13799999999999998</v>
      </c>
      <c r="G20" s="183">
        <v>600</v>
      </c>
      <c r="H20" s="182">
        <f t="shared" si="1"/>
        <v>98.531999999999996</v>
      </c>
    </row>
    <row r="21" spans="1:8" x14ac:dyDescent="0.2">
      <c r="A21" s="138" t="s">
        <v>514</v>
      </c>
      <c r="B21" s="138" t="s">
        <v>515</v>
      </c>
      <c r="C21" s="150" t="s">
        <v>986</v>
      </c>
      <c r="D21" s="138" t="s">
        <v>452</v>
      </c>
      <c r="E21" s="182">
        <v>6.06</v>
      </c>
      <c r="F21" s="182">
        <f t="shared" si="0"/>
        <v>6.9689999999999994</v>
      </c>
      <c r="G21" s="183">
        <v>100</v>
      </c>
      <c r="H21" s="182">
        <f t="shared" si="1"/>
        <v>829.31099999999992</v>
      </c>
    </row>
    <row r="22" spans="1:8" x14ac:dyDescent="0.2">
      <c r="A22" s="138" t="s">
        <v>514</v>
      </c>
      <c r="B22" s="138" t="s">
        <v>515</v>
      </c>
      <c r="C22" s="150" t="s">
        <v>527</v>
      </c>
      <c r="D22" s="138" t="s">
        <v>452</v>
      </c>
      <c r="E22" s="182">
        <v>6.34</v>
      </c>
      <c r="F22" s="182">
        <f t="shared" si="0"/>
        <v>7.2909999999999995</v>
      </c>
      <c r="G22" s="183">
        <v>20</v>
      </c>
      <c r="H22" s="182">
        <f t="shared" si="1"/>
        <v>173.52579999999998</v>
      </c>
    </row>
    <row r="23" spans="1:8" x14ac:dyDescent="0.2">
      <c r="A23" s="138" t="s">
        <v>514</v>
      </c>
      <c r="B23" s="138" t="s">
        <v>515</v>
      </c>
      <c r="C23" s="150" t="s">
        <v>988</v>
      </c>
      <c r="D23" s="138" t="s">
        <v>452</v>
      </c>
      <c r="E23" s="182">
        <v>79</v>
      </c>
      <c r="F23" s="182">
        <f t="shared" si="0"/>
        <v>90.85</v>
      </c>
      <c r="G23" s="183">
        <v>1</v>
      </c>
      <c r="H23" s="182">
        <f t="shared" si="1"/>
        <v>108.11149999999999</v>
      </c>
    </row>
    <row r="24" spans="1:8" x14ac:dyDescent="0.2">
      <c r="A24" s="138" t="s">
        <v>514</v>
      </c>
      <c r="B24" s="138" t="s">
        <v>515</v>
      </c>
      <c r="C24" s="150" t="s">
        <v>528</v>
      </c>
      <c r="D24" s="138" t="s">
        <v>452</v>
      </c>
      <c r="E24" s="182">
        <v>3.33</v>
      </c>
      <c r="F24" s="182">
        <f t="shared" si="0"/>
        <v>3.8294999999999999</v>
      </c>
      <c r="G24" s="183">
        <v>230</v>
      </c>
      <c r="H24" s="182">
        <f t="shared" si="1"/>
        <v>1048.1341499999999</v>
      </c>
    </row>
    <row r="25" spans="1:8" x14ac:dyDescent="0.2">
      <c r="A25" s="138" t="s">
        <v>514</v>
      </c>
      <c r="B25" s="138" t="s">
        <v>515</v>
      </c>
      <c r="C25" s="150" t="s">
        <v>375</v>
      </c>
      <c r="D25" s="138" t="s">
        <v>452</v>
      </c>
      <c r="E25" s="182">
        <v>30</v>
      </c>
      <c r="F25" s="182">
        <f t="shared" si="0"/>
        <v>34.5</v>
      </c>
      <c r="G25" s="183">
        <v>1</v>
      </c>
      <c r="H25" s="182">
        <f t="shared" si="1"/>
        <v>41.055</v>
      </c>
    </row>
    <row r="26" spans="1:8" s="184" customFormat="1" x14ac:dyDescent="0.2">
      <c r="A26" s="233" t="s">
        <v>537</v>
      </c>
      <c r="B26" s="234"/>
      <c r="C26" s="234"/>
      <c r="D26" s="234"/>
      <c r="E26" s="234"/>
      <c r="F26" s="234"/>
      <c r="G26" s="235"/>
      <c r="H26" s="140">
        <f>SUM(H2:H25)</f>
        <v>74999.999899999981</v>
      </c>
    </row>
    <row r="27" spans="1:8" x14ac:dyDescent="0.2">
      <c r="A27" s="138" t="s">
        <v>538</v>
      </c>
      <c r="B27" s="138" t="s">
        <v>539</v>
      </c>
      <c r="C27" s="150" t="s">
        <v>563</v>
      </c>
      <c r="D27" s="138" t="s">
        <v>452</v>
      </c>
      <c r="E27" s="182">
        <v>319</v>
      </c>
      <c r="F27" s="182">
        <f t="shared" si="0"/>
        <v>366.84999999999997</v>
      </c>
      <c r="G27" s="183">
        <v>30</v>
      </c>
      <c r="H27" s="182">
        <f t="shared" si="1"/>
        <v>13096.544999999996</v>
      </c>
    </row>
    <row r="28" spans="1:8" x14ac:dyDescent="0.2">
      <c r="A28" s="138" t="s">
        <v>538</v>
      </c>
      <c r="B28" s="138" t="s">
        <v>539</v>
      </c>
      <c r="C28" s="150" t="s">
        <v>549</v>
      </c>
      <c r="D28" s="138" t="s">
        <v>541</v>
      </c>
      <c r="E28" s="182">
        <v>127</v>
      </c>
      <c r="F28" s="182">
        <f t="shared" si="0"/>
        <v>146.04999999999998</v>
      </c>
      <c r="G28" s="183">
        <v>30</v>
      </c>
      <c r="H28" s="182">
        <f t="shared" si="1"/>
        <v>5213.9849999999988</v>
      </c>
    </row>
    <row r="29" spans="1:8" x14ac:dyDescent="0.2">
      <c r="A29" s="138" t="s">
        <v>538</v>
      </c>
      <c r="B29" s="138" t="s">
        <v>539</v>
      </c>
      <c r="C29" s="150" t="s">
        <v>548</v>
      </c>
      <c r="D29" s="138" t="s">
        <v>541</v>
      </c>
      <c r="E29" s="182">
        <v>10.5</v>
      </c>
      <c r="F29" s="182">
        <f t="shared" si="0"/>
        <v>12.074999999999999</v>
      </c>
      <c r="G29" s="183">
        <v>50</v>
      </c>
      <c r="H29" s="182">
        <f t="shared" si="1"/>
        <v>718.46249999999998</v>
      </c>
    </row>
    <row r="30" spans="1:8" x14ac:dyDescent="0.2">
      <c r="A30" s="138" t="s">
        <v>538</v>
      </c>
      <c r="B30" s="138" t="s">
        <v>539</v>
      </c>
      <c r="C30" s="150" t="s">
        <v>565</v>
      </c>
      <c r="D30" s="138" t="s">
        <v>452</v>
      </c>
      <c r="E30" s="182">
        <v>20</v>
      </c>
      <c r="F30" s="182">
        <f t="shared" si="0"/>
        <v>23</v>
      </c>
      <c r="G30" s="183">
        <v>40</v>
      </c>
      <c r="H30" s="182">
        <f t="shared" si="1"/>
        <v>1094.8</v>
      </c>
    </row>
    <row r="31" spans="1:8" x14ac:dyDescent="0.2">
      <c r="A31" s="138" t="s">
        <v>538</v>
      </c>
      <c r="B31" s="138" t="s">
        <v>539</v>
      </c>
      <c r="C31" s="150" t="s">
        <v>554</v>
      </c>
      <c r="D31" s="138" t="s">
        <v>452</v>
      </c>
      <c r="E31" s="182">
        <v>0.28999999999999998</v>
      </c>
      <c r="F31" s="182">
        <f t="shared" si="0"/>
        <v>0.33349999999999996</v>
      </c>
      <c r="G31" s="183">
        <v>800</v>
      </c>
      <c r="H31" s="182">
        <f t="shared" si="1"/>
        <v>317.4919999999999</v>
      </c>
    </row>
    <row r="32" spans="1:8" x14ac:dyDescent="0.2">
      <c r="A32" s="138" t="s">
        <v>538</v>
      </c>
      <c r="B32" s="138" t="s">
        <v>539</v>
      </c>
      <c r="C32" s="150" t="s">
        <v>540</v>
      </c>
      <c r="D32" s="138" t="s">
        <v>452</v>
      </c>
      <c r="E32" s="182">
        <v>1.35</v>
      </c>
      <c r="F32" s="182">
        <f t="shared" si="0"/>
        <v>1.5525</v>
      </c>
      <c r="G32" s="183">
        <v>100</v>
      </c>
      <c r="H32" s="182">
        <f t="shared" si="1"/>
        <v>184.7475</v>
      </c>
    </row>
    <row r="33" spans="1:8" x14ac:dyDescent="0.2">
      <c r="A33" s="138" t="s">
        <v>538</v>
      </c>
      <c r="B33" s="138" t="s">
        <v>539</v>
      </c>
      <c r="C33" s="150" t="s">
        <v>557</v>
      </c>
      <c r="D33" s="138" t="s">
        <v>452</v>
      </c>
      <c r="E33" s="182">
        <v>4.79</v>
      </c>
      <c r="F33" s="182">
        <f t="shared" si="0"/>
        <v>5.5084999999999997</v>
      </c>
      <c r="G33" s="183">
        <v>2500</v>
      </c>
      <c r="H33" s="182">
        <f t="shared" si="1"/>
        <v>16387.787499999999</v>
      </c>
    </row>
    <row r="34" spans="1:8" x14ac:dyDescent="0.2">
      <c r="A34" s="138" t="s">
        <v>538</v>
      </c>
      <c r="B34" s="138" t="s">
        <v>539</v>
      </c>
      <c r="C34" s="150" t="s">
        <v>561</v>
      </c>
      <c r="D34" s="138" t="s">
        <v>452</v>
      </c>
      <c r="E34" s="182">
        <v>4.79</v>
      </c>
      <c r="F34" s="182">
        <f t="shared" si="0"/>
        <v>5.5084999999999997</v>
      </c>
      <c r="G34" s="183">
        <v>1000</v>
      </c>
      <c r="H34" s="182">
        <f t="shared" si="1"/>
        <v>6555.1149999999998</v>
      </c>
    </row>
    <row r="35" spans="1:8" x14ac:dyDescent="0.2">
      <c r="A35" s="138" t="s">
        <v>538</v>
      </c>
      <c r="B35" s="138" t="s">
        <v>539</v>
      </c>
      <c r="C35" s="150" t="s">
        <v>547</v>
      </c>
      <c r="D35" s="138" t="s">
        <v>452</v>
      </c>
      <c r="E35" s="182">
        <v>2.6</v>
      </c>
      <c r="F35" s="182">
        <f t="shared" si="0"/>
        <v>2.9899999999999998</v>
      </c>
      <c r="G35" s="183">
        <v>200</v>
      </c>
      <c r="H35" s="182">
        <f t="shared" si="1"/>
        <v>711.62</v>
      </c>
    </row>
    <row r="36" spans="1:8" x14ac:dyDescent="0.2">
      <c r="A36" s="138" t="s">
        <v>538</v>
      </c>
      <c r="B36" s="138" t="s">
        <v>539</v>
      </c>
      <c r="C36" s="150" t="s">
        <v>559</v>
      </c>
      <c r="D36" s="138" t="s">
        <v>452</v>
      </c>
      <c r="E36" s="182">
        <v>4.68</v>
      </c>
      <c r="F36" s="182">
        <f t="shared" si="0"/>
        <v>5.3819999999999997</v>
      </c>
      <c r="G36" s="183">
        <v>1800</v>
      </c>
      <c r="H36" s="182">
        <f t="shared" si="1"/>
        <v>11528.243999999997</v>
      </c>
    </row>
    <row r="37" spans="1:8" x14ac:dyDescent="0.2">
      <c r="A37" s="138" t="s">
        <v>538</v>
      </c>
      <c r="B37" s="138" t="s">
        <v>539</v>
      </c>
      <c r="C37" s="150" t="s">
        <v>997</v>
      </c>
      <c r="D37" s="138" t="s">
        <v>452</v>
      </c>
      <c r="E37" s="182">
        <v>5.55</v>
      </c>
      <c r="F37" s="182">
        <f t="shared" si="0"/>
        <v>6.3824999999999994</v>
      </c>
      <c r="G37" s="183">
        <v>600</v>
      </c>
      <c r="H37" s="182">
        <f t="shared" si="1"/>
        <v>4557.1049999999996</v>
      </c>
    </row>
    <row r="38" spans="1:8" x14ac:dyDescent="0.2">
      <c r="A38" s="138" t="s">
        <v>538</v>
      </c>
      <c r="B38" s="138" t="s">
        <v>539</v>
      </c>
      <c r="C38" s="150" t="s">
        <v>998</v>
      </c>
      <c r="D38" s="138" t="s">
        <v>452</v>
      </c>
      <c r="E38" s="182">
        <v>4.3</v>
      </c>
      <c r="F38" s="182">
        <f t="shared" si="0"/>
        <v>4.9449999999999994</v>
      </c>
      <c r="G38" s="183">
        <v>30</v>
      </c>
      <c r="H38" s="182">
        <f t="shared" si="1"/>
        <v>176.53649999999999</v>
      </c>
    </row>
    <row r="39" spans="1:8" x14ac:dyDescent="0.2">
      <c r="A39" s="138" t="s">
        <v>538</v>
      </c>
      <c r="B39" s="138" t="s">
        <v>539</v>
      </c>
      <c r="C39" s="150" t="s">
        <v>562</v>
      </c>
      <c r="D39" s="138" t="s">
        <v>452</v>
      </c>
      <c r="E39" s="182">
        <v>319</v>
      </c>
      <c r="F39" s="182">
        <f t="shared" si="0"/>
        <v>366.84999999999997</v>
      </c>
      <c r="G39" s="183">
        <v>35</v>
      </c>
      <c r="H39" s="182">
        <f t="shared" si="1"/>
        <v>15279.302499999998</v>
      </c>
    </row>
    <row r="40" spans="1:8" x14ac:dyDescent="0.2">
      <c r="A40" s="138" t="s">
        <v>538</v>
      </c>
      <c r="B40" s="138" t="s">
        <v>539</v>
      </c>
      <c r="C40" s="150" t="s">
        <v>550</v>
      </c>
      <c r="D40" s="138" t="s">
        <v>452</v>
      </c>
      <c r="E40" s="182">
        <v>141</v>
      </c>
      <c r="F40" s="182">
        <f t="shared" si="0"/>
        <v>162.14999999999998</v>
      </c>
      <c r="G40" s="183">
        <v>20</v>
      </c>
      <c r="H40" s="182">
        <f t="shared" si="1"/>
        <v>3859.1699999999992</v>
      </c>
    </row>
    <row r="41" spans="1:8" x14ac:dyDescent="0.2">
      <c r="A41" s="138" t="s">
        <v>538</v>
      </c>
      <c r="B41" s="138" t="s">
        <v>539</v>
      </c>
      <c r="C41" s="150" t="s">
        <v>545</v>
      </c>
      <c r="D41" s="138" t="s">
        <v>452</v>
      </c>
      <c r="E41" s="182">
        <v>3.48</v>
      </c>
      <c r="F41" s="182">
        <f t="shared" si="0"/>
        <v>4.0019999999999998</v>
      </c>
      <c r="G41" s="183">
        <v>1500</v>
      </c>
      <c r="H41" s="182">
        <f t="shared" si="1"/>
        <v>7143.57</v>
      </c>
    </row>
    <row r="42" spans="1:8" x14ac:dyDescent="0.2">
      <c r="A42" s="138" t="s">
        <v>538</v>
      </c>
      <c r="B42" s="138" t="s">
        <v>539</v>
      </c>
      <c r="C42" s="150" t="s">
        <v>999</v>
      </c>
      <c r="D42" s="138" t="s">
        <v>452</v>
      </c>
      <c r="E42" s="182">
        <v>141</v>
      </c>
      <c r="F42" s="182">
        <f t="shared" si="0"/>
        <v>162.14999999999998</v>
      </c>
      <c r="G42" s="183">
        <v>35</v>
      </c>
      <c r="H42" s="182">
        <f t="shared" si="1"/>
        <v>6753.5474999999988</v>
      </c>
    </row>
    <row r="43" spans="1:8" x14ac:dyDescent="0.2">
      <c r="A43" s="138" t="s">
        <v>538</v>
      </c>
      <c r="B43" s="138" t="s">
        <v>539</v>
      </c>
      <c r="C43" s="150" t="s">
        <v>1000</v>
      </c>
      <c r="D43" s="138" t="s">
        <v>452</v>
      </c>
      <c r="E43" s="182">
        <v>4.46</v>
      </c>
      <c r="F43" s="182">
        <f t="shared" si="0"/>
        <v>5.1289999999999996</v>
      </c>
      <c r="G43" s="183">
        <v>36</v>
      </c>
      <c r="H43" s="182">
        <f t="shared" si="1"/>
        <v>219.72635999999997</v>
      </c>
    </row>
    <row r="44" spans="1:8" x14ac:dyDescent="0.2">
      <c r="A44" s="138" t="s">
        <v>538</v>
      </c>
      <c r="B44" s="138" t="s">
        <v>539</v>
      </c>
      <c r="C44" s="150" t="s">
        <v>542</v>
      </c>
      <c r="D44" s="138" t="s">
        <v>541</v>
      </c>
      <c r="E44" s="182">
        <v>1.74</v>
      </c>
      <c r="F44" s="182">
        <f t="shared" si="0"/>
        <v>2.0009999999999999</v>
      </c>
      <c r="G44" s="183">
        <v>1000</v>
      </c>
      <c r="H44" s="182">
        <f t="shared" si="1"/>
        <v>2381.19</v>
      </c>
    </row>
    <row r="45" spans="1:8" x14ac:dyDescent="0.2">
      <c r="A45" s="138" t="s">
        <v>538</v>
      </c>
      <c r="B45" s="138" t="s">
        <v>539</v>
      </c>
      <c r="C45" s="150" t="s">
        <v>551</v>
      </c>
      <c r="D45" s="138" t="s">
        <v>452</v>
      </c>
      <c r="E45" s="182">
        <v>11.9</v>
      </c>
      <c r="F45" s="182">
        <f t="shared" si="0"/>
        <v>13.684999999999999</v>
      </c>
      <c r="G45" s="183">
        <v>2390</v>
      </c>
      <c r="H45" s="182">
        <f t="shared" si="1"/>
        <v>38921.508499999996</v>
      </c>
    </row>
    <row r="46" spans="1:8" x14ac:dyDescent="0.2">
      <c r="A46" s="138" t="s">
        <v>538</v>
      </c>
      <c r="B46" s="138" t="s">
        <v>539</v>
      </c>
      <c r="C46" s="150" t="s">
        <v>543</v>
      </c>
      <c r="D46" s="138" t="s">
        <v>541</v>
      </c>
      <c r="E46" s="182">
        <v>1.2</v>
      </c>
      <c r="F46" s="182">
        <f t="shared" si="0"/>
        <v>1.38</v>
      </c>
      <c r="G46" s="183">
        <v>7000</v>
      </c>
      <c r="H46" s="182">
        <f t="shared" si="1"/>
        <v>11495.4</v>
      </c>
    </row>
    <row r="47" spans="1:8" x14ac:dyDescent="0.2">
      <c r="A47" s="138" t="s">
        <v>538</v>
      </c>
      <c r="B47" s="138" t="s">
        <v>539</v>
      </c>
      <c r="C47" s="150" t="s">
        <v>555</v>
      </c>
      <c r="D47" s="138" t="s">
        <v>452</v>
      </c>
      <c r="E47" s="182">
        <v>1.37</v>
      </c>
      <c r="F47" s="182">
        <f t="shared" si="0"/>
        <v>1.5754999999999999</v>
      </c>
      <c r="G47" s="183">
        <v>500</v>
      </c>
      <c r="H47" s="182">
        <f t="shared" si="1"/>
        <v>937.42250000000001</v>
      </c>
    </row>
    <row r="48" spans="1:8" x14ac:dyDescent="0.2">
      <c r="A48" s="138" t="s">
        <v>538</v>
      </c>
      <c r="B48" s="138" t="s">
        <v>539</v>
      </c>
      <c r="C48" s="150" t="s">
        <v>544</v>
      </c>
      <c r="D48" s="138" t="s">
        <v>541</v>
      </c>
      <c r="E48" s="182">
        <v>13.59</v>
      </c>
      <c r="F48" s="182">
        <f t="shared" si="0"/>
        <v>15.628499999999999</v>
      </c>
      <c r="G48" s="183">
        <v>100</v>
      </c>
      <c r="H48" s="182">
        <f t="shared" si="1"/>
        <v>1859.7914999999998</v>
      </c>
    </row>
    <row r="49" spans="1:8" x14ac:dyDescent="0.2">
      <c r="A49" s="138" t="s">
        <v>538</v>
      </c>
      <c r="B49" s="138" t="s">
        <v>539</v>
      </c>
      <c r="C49" s="150" t="s">
        <v>1004</v>
      </c>
      <c r="D49" s="138" t="s">
        <v>541</v>
      </c>
      <c r="E49" s="182">
        <v>8.6999999999999993</v>
      </c>
      <c r="F49" s="182">
        <f t="shared" si="0"/>
        <v>10.004999999999999</v>
      </c>
      <c r="G49" s="183">
        <v>2000</v>
      </c>
      <c r="H49" s="182">
        <f t="shared" si="1"/>
        <v>23811.899999999994</v>
      </c>
    </row>
    <row r="50" spans="1:8" x14ac:dyDescent="0.2">
      <c r="A50" s="138" t="s">
        <v>538</v>
      </c>
      <c r="B50" s="138" t="s">
        <v>539</v>
      </c>
      <c r="C50" s="150" t="s">
        <v>558</v>
      </c>
      <c r="D50" s="138" t="s">
        <v>541</v>
      </c>
      <c r="E50" s="182">
        <v>2.2999999999999998</v>
      </c>
      <c r="F50" s="182">
        <f t="shared" si="0"/>
        <v>2.6449999999999996</v>
      </c>
      <c r="G50" s="183">
        <v>7430</v>
      </c>
      <c r="H50" s="182">
        <f t="shared" si="1"/>
        <v>23386.296499999997</v>
      </c>
    </row>
    <row r="51" spans="1:8" x14ac:dyDescent="0.2">
      <c r="A51" s="138" t="s">
        <v>538</v>
      </c>
      <c r="B51" s="138" t="s">
        <v>539</v>
      </c>
      <c r="C51" s="150" t="s">
        <v>552</v>
      </c>
      <c r="D51" s="138" t="s">
        <v>553</v>
      </c>
      <c r="E51" s="182">
        <v>3.1</v>
      </c>
      <c r="F51" s="182">
        <f t="shared" si="0"/>
        <v>3.5649999999999999</v>
      </c>
      <c r="G51" s="183">
        <v>7000</v>
      </c>
      <c r="H51" s="182">
        <f t="shared" si="1"/>
        <v>29696.449999999997</v>
      </c>
    </row>
    <row r="52" spans="1:8" x14ac:dyDescent="0.2">
      <c r="A52" s="138" t="s">
        <v>538</v>
      </c>
      <c r="B52" s="138" t="s">
        <v>539</v>
      </c>
      <c r="C52" s="150" t="s">
        <v>556</v>
      </c>
      <c r="D52" s="138" t="s">
        <v>452</v>
      </c>
      <c r="E52" s="182">
        <v>0.97</v>
      </c>
      <c r="F52" s="182">
        <f t="shared" si="0"/>
        <v>1.1154999999999999</v>
      </c>
      <c r="G52" s="183">
        <v>40000</v>
      </c>
      <c r="H52" s="182">
        <f t="shared" si="1"/>
        <v>53097.799999999996</v>
      </c>
    </row>
    <row r="53" spans="1:8" x14ac:dyDescent="0.2">
      <c r="A53" s="138" t="s">
        <v>538</v>
      </c>
      <c r="B53" s="138" t="s">
        <v>539</v>
      </c>
      <c r="C53" s="150" t="s">
        <v>560</v>
      </c>
      <c r="D53" s="138" t="s">
        <v>452</v>
      </c>
      <c r="E53" s="182">
        <v>42</v>
      </c>
      <c r="F53" s="182">
        <f t="shared" si="0"/>
        <v>48.3</v>
      </c>
      <c r="G53" s="183">
        <v>600</v>
      </c>
      <c r="H53" s="182">
        <f t="shared" si="1"/>
        <v>34486.199999999997</v>
      </c>
    </row>
    <row r="54" spans="1:8" x14ac:dyDescent="0.2">
      <c r="A54" s="138" t="s">
        <v>538</v>
      </c>
      <c r="B54" s="138" t="s">
        <v>539</v>
      </c>
      <c r="C54" s="150" t="s">
        <v>546</v>
      </c>
      <c r="D54" s="138" t="s">
        <v>452</v>
      </c>
      <c r="E54" s="182">
        <v>5</v>
      </c>
      <c r="F54" s="182">
        <f t="shared" si="0"/>
        <v>5.75</v>
      </c>
      <c r="G54" s="183">
        <v>2100</v>
      </c>
      <c r="H54" s="182">
        <f t="shared" si="1"/>
        <v>14369.25</v>
      </c>
    </row>
    <row r="55" spans="1:8" x14ac:dyDescent="0.2">
      <c r="A55" s="138" t="s">
        <v>538</v>
      </c>
      <c r="B55" s="138" t="s">
        <v>539</v>
      </c>
      <c r="C55" s="150" t="s">
        <v>566</v>
      </c>
      <c r="D55" s="138" t="s">
        <v>452</v>
      </c>
      <c r="E55" s="182">
        <v>19.5</v>
      </c>
      <c r="F55" s="182">
        <f t="shared" si="0"/>
        <v>22.424999999999997</v>
      </c>
      <c r="G55" s="183">
        <v>200</v>
      </c>
      <c r="H55" s="182">
        <f>G55*F55*1.19-0.12</f>
        <v>5337.0299999999988</v>
      </c>
    </row>
    <row r="56" spans="1:8" x14ac:dyDescent="0.2">
      <c r="A56" s="138" t="s">
        <v>538</v>
      </c>
      <c r="B56" s="138" t="s">
        <v>539</v>
      </c>
      <c r="C56" s="150" t="s">
        <v>564</v>
      </c>
      <c r="D56" s="138" t="s">
        <v>452</v>
      </c>
      <c r="E56" s="182">
        <v>250</v>
      </c>
      <c r="F56" s="182">
        <f>E56*1.15</f>
        <v>287.5</v>
      </c>
      <c r="G56" s="183">
        <v>48</v>
      </c>
      <c r="H56" s="182">
        <f t="shared" si="1"/>
        <v>16422</v>
      </c>
    </row>
    <row r="57" spans="1:8" x14ac:dyDescent="0.2">
      <c r="A57" s="233" t="s">
        <v>567</v>
      </c>
      <c r="B57" s="234"/>
      <c r="C57" s="234"/>
      <c r="D57" s="234"/>
      <c r="E57" s="234"/>
      <c r="F57" s="234"/>
      <c r="G57" s="235"/>
      <c r="H57" s="140">
        <f>SUM(H27:H56)</f>
        <v>349999.99535999994</v>
      </c>
    </row>
    <row r="58" spans="1:8" ht="22.5" x14ac:dyDescent="0.2">
      <c r="A58" s="138" t="s">
        <v>568</v>
      </c>
      <c r="B58" s="138" t="s">
        <v>569</v>
      </c>
      <c r="C58" s="150" t="s">
        <v>1011</v>
      </c>
      <c r="D58" s="138" t="s">
        <v>452</v>
      </c>
      <c r="E58" s="182">
        <v>923.53</v>
      </c>
      <c r="F58" s="182">
        <f t="shared" si="0"/>
        <v>1062.0594999999998</v>
      </c>
      <c r="G58" s="183">
        <v>1</v>
      </c>
      <c r="H58" s="182">
        <f t="shared" si="1"/>
        <v>1263.8508049999998</v>
      </c>
    </row>
    <row r="59" spans="1:8" ht="22.5" x14ac:dyDescent="0.2">
      <c r="A59" s="138" t="s">
        <v>568</v>
      </c>
      <c r="B59" s="138" t="s">
        <v>569</v>
      </c>
      <c r="C59" s="150" t="s">
        <v>573</v>
      </c>
      <c r="D59" s="138" t="s">
        <v>452</v>
      </c>
      <c r="E59" s="182">
        <v>3</v>
      </c>
      <c r="F59" s="182">
        <f t="shared" si="0"/>
        <v>3.4499999999999997</v>
      </c>
      <c r="G59" s="183">
        <v>147</v>
      </c>
      <c r="H59" s="182">
        <f t="shared" si="1"/>
        <v>603.50849999999991</v>
      </c>
    </row>
    <row r="60" spans="1:8" ht="22.5" x14ac:dyDescent="0.2">
      <c r="A60" s="138" t="s">
        <v>568</v>
      </c>
      <c r="B60" s="138" t="s">
        <v>569</v>
      </c>
      <c r="C60" s="150" t="s">
        <v>572</v>
      </c>
      <c r="D60" s="138" t="s">
        <v>452</v>
      </c>
      <c r="E60" s="182">
        <v>3</v>
      </c>
      <c r="F60" s="182">
        <f t="shared" si="0"/>
        <v>3.4499999999999997</v>
      </c>
      <c r="G60" s="183">
        <v>95</v>
      </c>
      <c r="H60" s="182">
        <f t="shared" si="1"/>
        <v>390.02249999999998</v>
      </c>
    </row>
    <row r="61" spans="1:8" ht="22.5" x14ac:dyDescent="0.2">
      <c r="A61" s="138" t="s">
        <v>568</v>
      </c>
      <c r="B61" s="138" t="s">
        <v>569</v>
      </c>
      <c r="C61" s="150" t="s">
        <v>570</v>
      </c>
      <c r="D61" s="138" t="s">
        <v>452</v>
      </c>
      <c r="E61" s="182">
        <v>3</v>
      </c>
      <c r="F61" s="182">
        <f t="shared" si="0"/>
        <v>3.4499999999999997</v>
      </c>
      <c r="G61" s="183">
        <v>90</v>
      </c>
      <c r="H61" s="182">
        <f t="shared" si="1"/>
        <v>369.495</v>
      </c>
    </row>
    <row r="62" spans="1:8" ht="22.5" x14ac:dyDescent="0.2">
      <c r="A62" s="138" t="s">
        <v>568</v>
      </c>
      <c r="B62" s="138" t="s">
        <v>569</v>
      </c>
      <c r="C62" s="150" t="s">
        <v>571</v>
      </c>
      <c r="D62" s="138" t="s">
        <v>452</v>
      </c>
      <c r="E62" s="182">
        <v>5</v>
      </c>
      <c r="F62" s="182">
        <f t="shared" si="0"/>
        <v>5.75</v>
      </c>
      <c r="G62" s="183">
        <v>100</v>
      </c>
      <c r="H62" s="182">
        <f t="shared" si="1"/>
        <v>684.25</v>
      </c>
    </row>
    <row r="63" spans="1:8" ht="22.5" x14ac:dyDescent="0.2">
      <c r="A63" s="138" t="s">
        <v>568</v>
      </c>
      <c r="B63" s="138" t="s">
        <v>569</v>
      </c>
      <c r="C63" s="150" t="s">
        <v>574</v>
      </c>
      <c r="D63" s="138" t="s">
        <v>452</v>
      </c>
      <c r="E63" s="182">
        <v>16</v>
      </c>
      <c r="F63" s="182">
        <f t="shared" si="0"/>
        <v>18.399999999999999</v>
      </c>
      <c r="G63" s="183">
        <v>80</v>
      </c>
      <c r="H63" s="182">
        <f t="shared" si="1"/>
        <v>1751.6799999999998</v>
      </c>
    </row>
    <row r="64" spans="1:8" ht="22.5" x14ac:dyDescent="0.2">
      <c r="A64" s="138" t="s">
        <v>568</v>
      </c>
      <c r="B64" s="138" t="s">
        <v>569</v>
      </c>
      <c r="C64" s="150" t="s">
        <v>1015</v>
      </c>
      <c r="D64" s="138" t="s">
        <v>452</v>
      </c>
      <c r="E64" s="182">
        <v>250</v>
      </c>
      <c r="F64" s="182">
        <f t="shared" si="0"/>
        <v>287.5</v>
      </c>
      <c r="G64" s="183">
        <v>15</v>
      </c>
      <c r="H64" s="182">
        <f t="shared" si="1"/>
        <v>5131.875</v>
      </c>
    </row>
    <row r="65" spans="1:8" ht="22.5" x14ac:dyDescent="0.2">
      <c r="A65" s="138" t="s">
        <v>568</v>
      </c>
      <c r="B65" s="138" t="s">
        <v>569</v>
      </c>
      <c r="C65" s="150" t="s">
        <v>1016</v>
      </c>
      <c r="D65" s="138" t="s">
        <v>452</v>
      </c>
      <c r="E65" s="182">
        <v>250</v>
      </c>
      <c r="F65" s="182">
        <f t="shared" si="0"/>
        <v>287.5</v>
      </c>
      <c r="G65" s="183">
        <v>10</v>
      </c>
      <c r="H65" s="182">
        <f t="shared" si="1"/>
        <v>3421.25</v>
      </c>
    </row>
    <row r="66" spans="1:8" ht="22.5" x14ac:dyDescent="0.2">
      <c r="A66" s="138" t="s">
        <v>568</v>
      </c>
      <c r="B66" s="138" t="s">
        <v>569</v>
      </c>
      <c r="C66" s="150" t="s">
        <v>1017</v>
      </c>
      <c r="D66" s="138" t="s">
        <v>452</v>
      </c>
      <c r="E66" s="182">
        <v>250</v>
      </c>
      <c r="F66" s="182">
        <f t="shared" si="0"/>
        <v>287.5</v>
      </c>
      <c r="G66" s="183">
        <v>10</v>
      </c>
      <c r="H66" s="182">
        <f t="shared" si="1"/>
        <v>3421.25</v>
      </c>
    </row>
    <row r="67" spans="1:8" ht="22.5" x14ac:dyDescent="0.2">
      <c r="A67" s="138" t="s">
        <v>568</v>
      </c>
      <c r="B67" s="138" t="s">
        <v>569</v>
      </c>
      <c r="C67" s="150" t="s">
        <v>575</v>
      </c>
      <c r="D67" s="138" t="s">
        <v>452</v>
      </c>
      <c r="E67" s="182">
        <v>18</v>
      </c>
      <c r="F67" s="182">
        <f t="shared" ref="F67" si="2">E67*1.15</f>
        <v>20.7</v>
      </c>
      <c r="G67" s="183">
        <v>200</v>
      </c>
      <c r="H67" s="182">
        <f t="shared" ref="H67:H68" si="3">G67*F67*1.19</f>
        <v>4926.5999999999995</v>
      </c>
    </row>
    <row r="68" spans="1:8" ht="22.5" x14ac:dyDescent="0.2">
      <c r="A68" s="138" t="s">
        <v>568</v>
      </c>
      <c r="B68" s="138" t="s">
        <v>569</v>
      </c>
      <c r="C68" s="150" t="s">
        <v>1019</v>
      </c>
      <c r="D68" s="138" t="s">
        <v>452</v>
      </c>
      <c r="E68" s="182">
        <v>23</v>
      </c>
      <c r="F68" s="182">
        <v>26.434999999999999</v>
      </c>
      <c r="G68" s="183">
        <v>30</v>
      </c>
      <c r="H68" s="182">
        <f t="shared" si="3"/>
        <v>943.72949999999992</v>
      </c>
    </row>
    <row r="69" spans="1:8" ht="22.5" x14ac:dyDescent="0.2">
      <c r="A69" s="138" t="s">
        <v>568</v>
      </c>
      <c r="B69" s="138" t="s">
        <v>569</v>
      </c>
      <c r="C69" s="150" t="s">
        <v>68</v>
      </c>
      <c r="D69" s="138" t="s">
        <v>643</v>
      </c>
      <c r="E69" s="139">
        <v>297415.44</v>
      </c>
      <c r="F69" s="182">
        <v>297415.44</v>
      </c>
      <c r="G69" s="138">
        <v>12</v>
      </c>
      <c r="H69" s="139">
        <f>G69*F69*1.19</f>
        <v>4247092.4831999997</v>
      </c>
    </row>
    <row r="70" spans="1:8" x14ac:dyDescent="0.2">
      <c r="A70" s="233" t="s">
        <v>576</v>
      </c>
      <c r="B70" s="234"/>
      <c r="C70" s="234"/>
      <c r="D70" s="234"/>
      <c r="E70" s="234"/>
      <c r="F70" s="234"/>
      <c r="G70" s="235"/>
      <c r="H70" s="140">
        <f>SUM(H58:H69)+0.01</f>
        <v>4270000.0045049991</v>
      </c>
    </row>
    <row r="71" spans="1:8" x14ac:dyDescent="0.2">
      <c r="A71" s="141">
        <v>38006</v>
      </c>
      <c r="B71" s="142" t="s">
        <v>577</v>
      </c>
      <c r="C71" s="142" t="s">
        <v>71</v>
      </c>
      <c r="D71" s="138" t="s">
        <v>452</v>
      </c>
      <c r="E71" s="143">
        <f>F71/G71</f>
        <v>4376.7508333333335</v>
      </c>
      <c r="F71" s="182">
        <v>52521.01</v>
      </c>
      <c r="G71" s="144">
        <v>12</v>
      </c>
      <c r="H71" s="139">
        <f>F71*G71*1.19-0.02</f>
        <v>750000.0027999999</v>
      </c>
    </row>
    <row r="72" spans="1:8" x14ac:dyDescent="0.2">
      <c r="A72" s="233" t="s">
        <v>578</v>
      </c>
      <c r="B72" s="234"/>
      <c r="C72" s="234"/>
      <c r="D72" s="234"/>
      <c r="E72" s="234"/>
      <c r="F72" s="234"/>
      <c r="G72" s="235"/>
      <c r="H72" s="140">
        <f>H71</f>
        <v>750000.0027999999</v>
      </c>
    </row>
    <row r="73" spans="1:8" x14ac:dyDescent="0.2">
      <c r="A73" s="138" t="s">
        <v>579</v>
      </c>
      <c r="B73" s="138" t="s">
        <v>580</v>
      </c>
      <c r="C73" s="150" t="s">
        <v>581</v>
      </c>
      <c r="D73" s="138" t="s">
        <v>541</v>
      </c>
      <c r="E73" s="182">
        <v>6.95</v>
      </c>
      <c r="F73" s="139">
        <v>8</v>
      </c>
      <c r="G73" s="183">
        <v>2200</v>
      </c>
      <c r="H73" s="139">
        <f>G73*F73*1.19</f>
        <v>20944</v>
      </c>
    </row>
    <row r="74" spans="1:8" x14ac:dyDescent="0.2">
      <c r="A74" s="138" t="s">
        <v>579</v>
      </c>
      <c r="B74" s="138" t="s">
        <v>580</v>
      </c>
      <c r="C74" s="150" t="s">
        <v>582</v>
      </c>
      <c r="D74" s="138" t="s">
        <v>541</v>
      </c>
      <c r="E74" s="182">
        <v>6.56</v>
      </c>
      <c r="F74" s="139">
        <v>7.4909999999999997</v>
      </c>
      <c r="G74" s="183">
        <v>455</v>
      </c>
      <c r="H74" s="139">
        <f>G74*F74*1.19</f>
        <v>4056.0019499999994</v>
      </c>
    </row>
    <row r="75" spans="1:8" x14ac:dyDescent="0.2">
      <c r="A75" s="233" t="s">
        <v>583</v>
      </c>
      <c r="B75" s="234"/>
      <c r="C75" s="234"/>
      <c r="D75" s="234"/>
      <c r="E75" s="234"/>
      <c r="F75" s="234"/>
      <c r="G75" s="235"/>
      <c r="H75" s="140">
        <f>SUM(H73:H74)</f>
        <v>25000.001949999998</v>
      </c>
    </row>
    <row r="76" spans="1:8" x14ac:dyDescent="0.2">
      <c r="A76" s="138" t="s">
        <v>453</v>
      </c>
      <c r="B76" s="138" t="s">
        <v>454</v>
      </c>
      <c r="C76" s="150" t="s">
        <v>1025</v>
      </c>
      <c r="D76" s="138" t="s">
        <v>452</v>
      </c>
      <c r="E76" s="182">
        <v>299</v>
      </c>
      <c r="F76" s="139">
        <v>346.2</v>
      </c>
      <c r="G76" s="183">
        <v>25</v>
      </c>
      <c r="H76" s="139">
        <f>G76*F76*1.19</f>
        <v>10299.449999999999</v>
      </c>
    </row>
    <row r="77" spans="1:8" x14ac:dyDescent="0.2">
      <c r="A77" s="138" t="s">
        <v>453</v>
      </c>
      <c r="B77" s="138" t="s">
        <v>454</v>
      </c>
      <c r="C77" s="150" t="s">
        <v>1026</v>
      </c>
      <c r="D77" s="138" t="s">
        <v>452</v>
      </c>
      <c r="E77" s="182">
        <v>915.85</v>
      </c>
      <c r="F77" s="139">
        <v>1053</v>
      </c>
      <c r="G77" s="183">
        <v>10</v>
      </c>
      <c r="H77" s="139">
        <f t="shared" ref="H77:H104" si="4">G77*F77*1.19</f>
        <v>12530.699999999999</v>
      </c>
    </row>
    <row r="78" spans="1:8" x14ac:dyDescent="0.2">
      <c r="A78" s="138" t="s">
        <v>453</v>
      </c>
      <c r="B78" s="138" t="s">
        <v>454</v>
      </c>
      <c r="C78" s="150" t="s">
        <v>585</v>
      </c>
      <c r="D78" s="138" t="s">
        <v>452</v>
      </c>
      <c r="E78" s="182">
        <v>23</v>
      </c>
      <c r="F78" s="139">
        <v>26</v>
      </c>
      <c r="G78" s="183">
        <v>2511</v>
      </c>
      <c r="H78" s="139">
        <f t="shared" si="4"/>
        <v>77690.34</v>
      </c>
    </row>
    <row r="79" spans="1:8" x14ac:dyDescent="0.2">
      <c r="A79" s="138" t="s">
        <v>453</v>
      </c>
      <c r="B79" s="138" t="s">
        <v>454</v>
      </c>
      <c r="C79" s="150" t="s">
        <v>1028</v>
      </c>
      <c r="D79" s="138" t="s">
        <v>452</v>
      </c>
      <c r="E79" s="182">
        <v>504</v>
      </c>
      <c r="F79" s="139">
        <f t="shared" ref="F79:F104" si="5">E79*1.15</f>
        <v>579.59999999999991</v>
      </c>
      <c r="G79" s="183">
        <v>10</v>
      </c>
      <c r="H79" s="139">
        <f t="shared" si="4"/>
        <v>6897.2399999999989</v>
      </c>
    </row>
    <row r="80" spans="1:8" x14ac:dyDescent="0.2">
      <c r="A80" s="138" t="s">
        <v>453</v>
      </c>
      <c r="B80" s="138" t="s">
        <v>454</v>
      </c>
      <c r="C80" s="150" t="s">
        <v>449</v>
      </c>
      <c r="D80" s="138" t="s">
        <v>452</v>
      </c>
      <c r="E80" s="182">
        <v>504</v>
      </c>
      <c r="F80" s="139">
        <f t="shared" si="5"/>
        <v>579.59999999999991</v>
      </c>
      <c r="G80" s="183">
        <v>8</v>
      </c>
      <c r="H80" s="139">
        <f t="shared" si="4"/>
        <v>5517.7919999999986</v>
      </c>
    </row>
    <row r="81" spans="1:8" x14ac:dyDescent="0.2">
      <c r="A81" s="138" t="s">
        <v>453</v>
      </c>
      <c r="B81" s="138" t="s">
        <v>454</v>
      </c>
      <c r="C81" s="150" t="s">
        <v>1030</v>
      </c>
      <c r="D81" s="138" t="s">
        <v>452</v>
      </c>
      <c r="E81" s="182">
        <v>234</v>
      </c>
      <c r="F81" s="139">
        <f t="shared" si="5"/>
        <v>269.09999999999997</v>
      </c>
      <c r="G81" s="183">
        <v>3</v>
      </c>
      <c r="H81" s="139">
        <f t="shared" si="4"/>
        <v>960.6869999999999</v>
      </c>
    </row>
    <row r="82" spans="1:8" x14ac:dyDescent="0.2">
      <c r="A82" s="138" t="s">
        <v>453</v>
      </c>
      <c r="B82" s="138" t="s">
        <v>454</v>
      </c>
      <c r="C82" s="150" t="s">
        <v>265</v>
      </c>
      <c r="D82" s="138" t="s">
        <v>452</v>
      </c>
      <c r="E82" s="182">
        <v>2035</v>
      </c>
      <c r="F82" s="139">
        <f t="shared" si="5"/>
        <v>2340.25</v>
      </c>
      <c r="G82" s="183">
        <v>2</v>
      </c>
      <c r="H82" s="139">
        <f t="shared" si="4"/>
        <v>5569.7950000000001</v>
      </c>
    </row>
    <row r="83" spans="1:8" x14ac:dyDescent="0.2">
      <c r="A83" s="138" t="s">
        <v>453</v>
      </c>
      <c r="B83" s="138" t="s">
        <v>454</v>
      </c>
      <c r="C83" s="150" t="s">
        <v>1031</v>
      </c>
      <c r="D83" s="138" t="s">
        <v>452</v>
      </c>
      <c r="E83" s="182">
        <v>234</v>
      </c>
      <c r="F83" s="139">
        <f t="shared" si="5"/>
        <v>269.09999999999997</v>
      </c>
      <c r="G83" s="183">
        <v>4</v>
      </c>
      <c r="H83" s="139">
        <f t="shared" si="4"/>
        <v>1280.9159999999997</v>
      </c>
    </row>
    <row r="84" spans="1:8" x14ac:dyDescent="0.2">
      <c r="A84" s="138" t="s">
        <v>453</v>
      </c>
      <c r="B84" s="138" t="s">
        <v>454</v>
      </c>
      <c r="C84" s="150" t="s">
        <v>263</v>
      </c>
      <c r="D84" s="138" t="s">
        <v>452</v>
      </c>
      <c r="E84" s="182">
        <v>17.5</v>
      </c>
      <c r="F84" s="139">
        <f t="shared" si="5"/>
        <v>20.125</v>
      </c>
      <c r="G84" s="183">
        <v>300</v>
      </c>
      <c r="H84" s="139">
        <f t="shared" si="4"/>
        <v>7184.625</v>
      </c>
    </row>
    <row r="85" spans="1:8" x14ac:dyDescent="0.2">
      <c r="A85" s="138" t="s">
        <v>453</v>
      </c>
      <c r="B85" s="138" t="s">
        <v>454</v>
      </c>
      <c r="C85" s="150" t="s">
        <v>430</v>
      </c>
      <c r="D85" s="138" t="s">
        <v>452</v>
      </c>
      <c r="E85" s="182">
        <v>200</v>
      </c>
      <c r="F85" s="139">
        <f t="shared" si="5"/>
        <v>229.99999999999997</v>
      </c>
      <c r="G85" s="183">
        <v>20</v>
      </c>
      <c r="H85" s="139">
        <f t="shared" si="4"/>
        <v>5473.9999999999991</v>
      </c>
    </row>
    <row r="86" spans="1:8" x14ac:dyDescent="0.2">
      <c r="A86" s="138" t="s">
        <v>453</v>
      </c>
      <c r="B86" s="138" t="s">
        <v>454</v>
      </c>
      <c r="C86" s="150" t="s">
        <v>590</v>
      </c>
      <c r="D86" s="138" t="s">
        <v>452</v>
      </c>
      <c r="E86" s="182">
        <v>468</v>
      </c>
      <c r="F86" s="139">
        <f t="shared" si="5"/>
        <v>538.19999999999993</v>
      </c>
      <c r="G86" s="183">
        <v>10</v>
      </c>
      <c r="H86" s="139">
        <f t="shared" si="4"/>
        <v>6404.579999999999</v>
      </c>
    </row>
    <row r="87" spans="1:8" x14ac:dyDescent="0.2">
      <c r="A87" s="138" t="s">
        <v>453</v>
      </c>
      <c r="B87" s="138" t="s">
        <v>454</v>
      </c>
      <c r="C87" s="150" t="s">
        <v>435</v>
      </c>
      <c r="D87" s="138" t="s">
        <v>452</v>
      </c>
      <c r="E87" s="182">
        <v>468</v>
      </c>
      <c r="F87" s="139">
        <f t="shared" si="5"/>
        <v>538.19999999999993</v>
      </c>
      <c r="G87" s="183">
        <v>10</v>
      </c>
      <c r="H87" s="139">
        <f t="shared" si="4"/>
        <v>6404.579999999999</v>
      </c>
    </row>
    <row r="88" spans="1:8" x14ac:dyDescent="0.2">
      <c r="A88" s="138" t="s">
        <v>453</v>
      </c>
      <c r="B88" s="138" t="s">
        <v>454</v>
      </c>
      <c r="C88" s="150" t="s">
        <v>1033</v>
      </c>
      <c r="D88" s="138" t="s">
        <v>452</v>
      </c>
      <c r="E88" s="182">
        <v>550</v>
      </c>
      <c r="F88" s="139">
        <f t="shared" si="5"/>
        <v>632.5</v>
      </c>
      <c r="G88" s="183">
        <v>4</v>
      </c>
      <c r="H88" s="139">
        <f t="shared" si="4"/>
        <v>3010.7</v>
      </c>
    </row>
    <row r="89" spans="1:8" x14ac:dyDescent="0.2">
      <c r="A89" s="138" t="s">
        <v>453</v>
      </c>
      <c r="B89" s="138" t="s">
        <v>454</v>
      </c>
      <c r="C89" s="150" t="s">
        <v>436</v>
      </c>
      <c r="D89" s="138" t="s">
        <v>452</v>
      </c>
      <c r="E89" s="182">
        <v>65</v>
      </c>
      <c r="F89" s="139">
        <v>74.432000000000002</v>
      </c>
      <c r="G89" s="183">
        <v>48</v>
      </c>
      <c r="H89" s="139">
        <f t="shared" si="4"/>
        <v>4251.55584</v>
      </c>
    </row>
    <row r="90" spans="1:8" x14ac:dyDescent="0.2">
      <c r="A90" s="138" t="s">
        <v>453</v>
      </c>
      <c r="B90" s="138" t="s">
        <v>454</v>
      </c>
      <c r="C90" s="150" t="s">
        <v>1036</v>
      </c>
      <c r="D90" s="138" t="s">
        <v>452</v>
      </c>
      <c r="E90" s="182">
        <v>233</v>
      </c>
      <c r="F90" s="139">
        <f t="shared" si="5"/>
        <v>267.95</v>
      </c>
      <c r="G90" s="183">
        <v>100</v>
      </c>
      <c r="H90" s="139">
        <f t="shared" si="4"/>
        <v>31886.05</v>
      </c>
    </row>
    <row r="91" spans="1:8" x14ac:dyDescent="0.2">
      <c r="A91" s="138" t="s">
        <v>453</v>
      </c>
      <c r="B91" s="138" t="s">
        <v>454</v>
      </c>
      <c r="C91" s="150" t="s">
        <v>1025</v>
      </c>
      <c r="D91" s="138" t="s">
        <v>452</v>
      </c>
      <c r="E91" s="182">
        <v>299</v>
      </c>
      <c r="F91" s="139">
        <f t="shared" si="5"/>
        <v>343.84999999999997</v>
      </c>
      <c r="G91" s="183">
        <v>28</v>
      </c>
      <c r="H91" s="139">
        <f t="shared" si="4"/>
        <v>11457.081999999999</v>
      </c>
    </row>
    <row r="92" spans="1:8" x14ac:dyDescent="0.2">
      <c r="A92" s="138" t="s">
        <v>453</v>
      </c>
      <c r="B92" s="138" t="s">
        <v>454</v>
      </c>
      <c r="C92" s="150" t="s">
        <v>440</v>
      </c>
      <c r="D92" s="138" t="s">
        <v>452</v>
      </c>
      <c r="E92" s="182">
        <v>30</v>
      </c>
      <c r="F92" s="139">
        <f t="shared" si="5"/>
        <v>34.5</v>
      </c>
      <c r="G92" s="183">
        <v>480</v>
      </c>
      <c r="H92" s="139">
        <f t="shared" si="4"/>
        <v>19706.399999999998</v>
      </c>
    </row>
    <row r="93" spans="1:8" x14ac:dyDescent="0.2">
      <c r="A93" s="138" t="s">
        <v>453</v>
      </c>
      <c r="B93" s="138" t="s">
        <v>454</v>
      </c>
      <c r="C93" s="150" t="s">
        <v>444</v>
      </c>
      <c r="D93" s="138" t="s">
        <v>452</v>
      </c>
      <c r="E93" s="182">
        <v>148</v>
      </c>
      <c r="F93" s="139">
        <f t="shared" si="5"/>
        <v>170.2</v>
      </c>
      <c r="G93" s="183">
        <v>50</v>
      </c>
      <c r="H93" s="139">
        <f t="shared" si="4"/>
        <v>10126.9</v>
      </c>
    </row>
    <row r="94" spans="1:8" x14ac:dyDescent="0.2">
      <c r="A94" s="138" t="s">
        <v>453</v>
      </c>
      <c r="B94" s="138" t="s">
        <v>454</v>
      </c>
      <c r="C94" s="150" t="s">
        <v>447</v>
      </c>
      <c r="D94" s="138" t="s">
        <v>452</v>
      </c>
      <c r="E94" s="182">
        <v>261</v>
      </c>
      <c r="F94" s="139">
        <f t="shared" si="5"/>
        <v>300.14999999999998</v>
      </c>
      <c r="G94" s="183">
        <v>40</v>
      </c>
      <c r="H94" s="139">
        <f t="shared" si="4"/>
        <v>14287.14</v>
      </c>
    </row>
    <row r="95" spans="1:8" x14ac:dyDescent="0.2">
      <c r="A95" s="138" t="s">
        <v>453</v>
      </c>
      <c r="B95" s="138" t="s">
        <v>454</v>
      </c>
      <c r="C95" s="150" t="s">
        <v>448</v>
      </c>
      <c r="D95" s="138" t="s">
        <v>452</v>
      </c>
      <c r="E95" s="182">
        <v>499</v>
      </c>
      <c r="F95" s="139">
        <f t="shared" si="5"/>
        <v>573.84999999999991</v>
      </c>
      <c r="G95" s="183">
        <v>2</v>
      </c>
      <c r="H95" s="139">
        <f t="shared" si="4"/>
        <v>1365.7629999999997</v>
      </c>
    </row>
    <row r="96" spans="1:8" x14ac:dyDescent="0.2">
      <c r="A96" s="138" t="s">
        <v>453</v>
      </c>
      <c r="B96" s="138" t="s">
        <v>454</v>
      </c>
      <c r="C96" s="150" t="s">
        <v>1037</v>
      </c>
      <c r="D96" s="138" t="s">
        <v>452</v>
      </c>
      <c r="E96" s="182">
        <v>550</v>
      </c>
      <c r="F96" s="139">
        <f t="shared" si="5"/>
        <v>632.5</v>
      </c>
      <c r="G96" s="183">
        <v>4</v>
      </c>
      <c r="H96" s="139">
        <f t="shared" si="4"/>
        <v>3010.7</v>
      </c>
    </row>
    <row r="97" spans="1:8" x14ac:dyDescent="0.2">
      <c r="A97" s="138" t="s">
        <v>453</v>
      </c>
      <c r="B97" s="138" t="s">
        <v>454</v>
      </c>
      <c r="C97" s="150" t="s">
        <v>449</v>
      </c>
      <c r="D97" s="138" t="s">
        <v>452</v>
      </c>
      <c r="E97" s="182">
        <v>504</v>
      </c>
      <c r="F97" s="139">
        <f t="shared" si="5"/>
        <v>579.59999999999991</v>
      </c>
      <c r="G97" s="183">
        <v>36</v>
      </c>
      <c r="H97" s="139">
        <f t="shared" si="4"/>
        <v>24830.063999999998</v>
      </c>
    </row>
    <row r="98" spans="1:8" x14ac:dyDescent="0.2">
      <c r="A98" s="138" t="s">
        <v>453</v>
      </c>
      <c r="B98" s="138" t="s">
        <v>454</v>
      </c>
      <c r="C98" s="150" t="s">
        <v>265</v>
      </c>
      <c r="D98" s="138" t="s">
        <v>452</v>
      </c>
      <c r="E98" s="182">
        <v>2035</v>
      </c>
      <c r="F98" s="139">
        <f t="shared" si="5"/>
        <v>2340.25</v>
      </c>
      <c r="G98" s="183">
        <v>14</v>
      </c>
      <c r="H98" s="139">
        <f t="shared" si="4"/>
        <v>38988.564999999995</v>
      </c>
    </row>
    <row r="99" spans="1:8" x14ac:dyDescent="0.2">
      <c r="A99" s="138" t="s">
        <v>453</v>
      </c>
      <c r="B99" s="138" t="s">
        <v>454</v>
      </c>
      <c r="C99" s="150" t="s">
        <v>591</v>
      </c>
      <c r="D99" s="138" t="s">
        <v>452</v>
      </c>
      <c r="E99" s="182">
        <v>1824</v>
      </c>
      <c r="F99" s="139">
        <f t="shared" si="5"/>
        <v>2097.6</v>
      </c>
      <c r="G99" s="183">
        <v>4</v>
      </c>
      <c r="H99" s="139">
        <f t="shared" si="4"/>
        <v>9984.5759999999991</v>
      </c>
    </row>
    <row r="100" spans="1:8" x14ac:dyDescent="0.2">
      <c r="A100" s="138" t="s">
        <v>453</v>
      </c>
      <c r="B100" s="138" t="s">
        <v>454</v>
      </c>
      <c r="C100" s="150" t="s">
        <v>1038</v>
      </c>
      <c r="D100" s="138" t="s">
        <v>452</v>
      </c>
      <c r="E100" s="182">
        <v>1824</v>
      </c>
      <c r="F100" s="139">
        <f t="shared" si="5"/>
        <v>2097.6</v>
      </c>
      <c r="G100" s="183">
        <v>4</v>
      </c>
      <c r="H100" s="139">
        <f t="shared" si="4"/>
        <v>9984.5759999999991</v>
      </c>
    </row>
    <row r="101" spans="1:8" x14ac:dyDescent="0.2">
      <c r="A101" s="138" t="s">
        <v>453</v>
      </c>
      <c r="B101" s="138" t="s">
        <v>454</v>
      </c>
      <c r="C101" s="150" t="s">
        <v>1039</v>
      </c>
      <c r="D101" s="138" t="s">
        <v>452</v>
      </c>
      <c r="E101" s="182">
        <v>92</v>
      </c>
      <c r="F101" s="139">
        <f t="shared" si="5"/>
        <v>105.8</v>
      </c>
      <c r="G101" s="183">
        <v>6</v>
      </c>
      <c r="H101" s="139">
        <f t="shared" si="4"/>
        <v>755.41199999999992</v>
      </c>
    </row>
    <row r="102" spans="1:8" x14ac:dyDescent="0.2">
      <c r="A102" s="138" t="s">
        <v>453</v>
      </c>
      <c r="B102" s="138" t="s">
        <v>454</v>
      </c>
      <c r="C102" s="150" t="s">
        <v>1031</v>
      </c>
      <c r="D102" s="138" t="s">
        <v>452</v>
      </c>
      <c r="E102" s="182">
        <v>234</v>
      </c>
      <c r="F102" s="139">
        <f t="shared" si="5"/>
        <v>269.09999999999997</v>
      </c>
      <c r="G102" s="183">
        <v>20</v>
      </c>
      <c r="H102" s="139">
        <f t="shared" si="4"/>
        <v>6404.579999999999</v>
      </c>
    </row>
    <row r="103" spans="1:8" x14ac:dyDescent="0.2">
      <c r="A103" s="138" t="s">
        <v>453</v>
      </c>
      <c r="B103" s="138" t="s">
        <v>454</v>
      </c>
      <c r="C103" s="150" t="s">
        <v>1040</v>
      </c>
      <c r="D103" s="138" t="s">
        <v>452</v>
      </c>
      <c r="E103" s="182">
        <v>234</v>
      </c>
      <c r="F103" s="139">
        <f t="shared" si="5"/>
        <v>269.09999999999997</v>
      </c>
      <c r="G103" s="183">
        <v>16</v>
      </c>
      <c r="H103" s="139">
        <f t="shared" si="4"/>
        <v>5123.6639999999989</v>
      </c>
    </row>
    <row r="104" spans="1:8" x14ac:dyDescent="0.2">
      <c r="A104" s="138" t="s">
        <v>453</v>
      </c>
      <c r="B104" s="138" t="s">
        <v>454</v>
      </c>
      <c r="C104" s="150" t="s">
        <v>593</v>
      </c>
      <c r="D104" s="138" t="s">
        <v>452</v>
      </c>
      <c r="E104" s="182">
        <v>1700</v>
      </c>
      <c r="F104" s="139">
        <f t="shared" si="5"/>
        <v>1954.9999999999998</v>
      </c>
      <c r="G104" s="183">
        <v>8</v>
      </c>
      <c r="H104" s="139">
        <f t="shared" si="4"/>
        <v>18611.599999999999</v>
      </c>
    </row>
    <row r="105" spans="1:8" s="184" customFormat="1" x14ac:dyDescent="0.2">
      <c r="A105" s="233" t="s">
        <v>601</v>
      </c>
      <c r="B105" s="234"/>
      <c r="C105" s="234"/>
      <c r="D105" s="234"/>
      <c r="E105" s="234"/>
      <c r="F105" s="234"/>
      <c r="G105" s="235"/>
      <c r="H105" s="140">
        <f>SUM(H76:H104)-0.03</f>
        <v>360000.00283999991</v>
      </c>
    </row>
    <row r="106" spans="1:8" s="184" customFormat="1" ht="22.5" x14ac:dyDescent="0.2">
      <c r="A106" s="145">
        <v>39467</v>
      </c>
      <c r="B106" s="146" t="s">
        <v>602</v>
      </c>
      <c r="C106" s="146" t="s">
        <v>76</v>
      </c>
      <c r="D106" s="138" t="s">
        <v>452</v>
      </c>
      <c r="E106" s="147">
        <f>H106/G106</f>
        <v>5950</v>
      </c>
      <c r="F106" s="147">
        <v>5000</v>
      </c>
      <c r="G106" s="148">
        <v>12</v>
      </c>
      <c r="H106" s="139">
        <f>G106*F106*1.19</f>
        <v>71400</v>
      </c>
    </row>
    <row r="107" spans="1:8" s="184" customFormat="1" ht="22.5" x14ac:dyDescent="0.2">
      <c r="A107" s="145">
        <v>39467</v>
      </c>
      <c r="B107" s="146" t="s">
        <v>602</v>
      </c>
      <c r="C107" s="138" t="s">
        <v>77</v>
      </c>
      <c r="D107" s="138" t="s">
        <v>452</v>
      </c>
      <c r="E107" s="147">
        <f t="shared" ref="E107:E109" si="6">H107/G107</f>
        <v>991.66269999999997</v>
      </c>
      <c r="F107" s="147">
        <v>833.33</v>
      </c>
      <c r="G107" s="148">
        <v>12</v>
      </c>
      <c r="H107" s="139">
        <f t="shared" ref="H107:H109" si="7">G107*F107*1.19</f>
        <v>11899.9524</v>
      </c>
    </row>
    <row r="108" spans="1:8" s="184" customFormat="1" ht="22.5" x14ac:dyDescent="0.2">
      <c r="A108" s="145">
        <v>39467</v>
      </c>
      <c r="B108" s="146" t="s">
        <v>602</v>
      </c>
      <c r="C108" s="138" t="s">
        <v>78</v>
      </c>
      <c r="D108" s="138" t="s">
        <v>452</v>
      </c>
      <c r="E108" s="147">
        <f t="shared" si="6"/>
        <v>99.162699999999987</v>
      </c>
      <c r="F108" s="147">
        <v>83.33</v>
      </c>
      <c r="G108" s="148">
        <v>12</v>
      </c>
      <c r="H108" s="139">
        <f t="shared" si="7"/>
        <v>1189.9523999999999</v>
      </c>
    </row>
    <row r="109" spans="1:8" s="184" customFormat="1" ht="22.5" x14ac:dyDescent="0.2">
      <c r="A109" s="145">
        <v>39467</v>
      </c>
      <c r="B109" s="146" t="s">
        <v>602</v>
      </c>
      <c r="C109" s="138" t="s">
        <v>79</v>
      </c>
      <c r="D109" s="138" t="s">
        <v>452</v>
      </c>
      <c r="E109" s="147">
        <f t="shared" si="6"/>
        <v>2542.5063999999998</v>
      </c>
      <c r="F109" s="147">
        <v>2136.56</v>
      </c>
      <c r="G109" s="148">
        <v>12</v>
      </c>
      <c r="H109" s="139">
        <f t="shared" si="7"/>
        <v>30510.076799999999</v>
      </c>
    </row>
    <row r="110" spans="1:8" s="184" customFormat="1" x14ac:dyDescent="0.2">
      <c r="A110" s="233" t="s">
        <v>603</v>
      </c>
      <c r="B110" s="234"/>
      <c r="C110" s="234"/>
      <c r="D110" s="234"/>
      <c r="E110" s="234"/>
      <c r="F110" s="234"/>
      <c r="G110" s="235"/>
      <c r="H110" s="140">
        <f>SUM(H106:H109)+0.02</f>
        <v>115000.00159999999</v>
      </c>
    </row>
    <row r="111" spans="1:8" ht="22.5" x14ac:dyDescent="0.2">
      <c r="A111" s="138" t="s">
        <v>604</v>
      </c>
      <c r="B111" s="138" t="s">
        <v>605</v>
      </c>
      <c r="C111" s="150" t="s">
        <v>633</v>
      </c>
      <c r="D111" s="138" t="s">
        <v>452</v>
      </c>
      <c r="E111" s="182">
        <v>0.12</v>
      </c>
      <c r="F111" s="139">
        <f>E111*1.15</f>
        <v>0.13799999999999998</v>
      </c>
      <c r="G111" s="183">
        <v>2000</v>
      </c>
      <c r="H111" s="139">
        <f>G111*F111*1.19</f>
        <v>328.43999999999994</v>
      </c>
    </row>
    <row r="112" spans="1:8" ht="22.5" x14ac:dyDescent="0.2">
      <c r="A112" s="138" t="s">
        <v>604</v>
      </c>
      <c r="B112" s="138" t="s">
        <v>605</v>
      </c>
      <c r="C112" s="150" t="s">
        <v>1044</v>
      </c>
      <c r="D112" s="138" t="s">
        <v>533</v>
      </c>
      <c r="E112" s="182">
        <v>0.04</v>
      </c>
      <c r="F112" s="139">
        <f t="shared" ref="F112:F172" si="8">E112*1.15</f>
        <v>4.5999999999999999E-2</v>
      </c>
      <c r="G112" s="183">
        <v>500</v>
      </c>
      <c r="H112" s="139">
        <f t="shared" ref="H112:H175" si="9">G112*F112*1.19</f>
        <v>27.369999999999997</v>
      </c>
    </row>
    <row r="113" spans="1:8" ht="22.5" x14ac:dyDescent="0.2">
      <c r="A113" s="138" t="s">
        <v>604</v>
      </c>
      <c r="B113" s="138" t="s">
        <v>605</v>
      </c>
      <c r="C113" s="150" t="s">
        <v>1045</v>
      </c>
      <c r="D113" s="138" t="s">
        <v>452</v>
      </c>
      <c r="E113" s="182">
        <v>0.08</v>
      </c>
      <c r="F113" s="139">
        <f t="shared" si="8"/>
        <v>9.1999999999999998E-2</v>
      </c>
      <c r="G113" s="183">
        <v>200</v>
      </c>
      <c r="H113" s="139">
        <f t="shared" si="9"/>
        <v>21.895999999999997</v>
      </c>
    </row>
    <row r="114" spans="1:8" ht="22.5" x14ac:dyDescent="0.2">
      <c r="A114" s="138" t="s">
        <v>604</v>
      </c>
      <c r="B114" s="138" t="s">
        <v>605</v>
      </c>
      <c r="C114" s="150" t="s">
        <v>641</v>
      </c>
      <c r="D114" s="138" t="s">
        <v>452</v>
      </c>
      <c r="E114" s="182">
        <v>435</v>
      </c>
      <c r="F114" s="139">
        <f t="shared" si="8"/>
        <v>500.24999999999994</v>
      </c>
      <c r="G114" s="183">
        <v>3</v>
      </c>
      <c r="H114" s="139">
        <f t="shared" si="9"/>
        <v>1785.8924999999997</v>
      </c>
    </row>
    <row r="115" spans="1:8" ht="22.5" x14ac:dyDescent="0.2">
      <c r="A115" s="138" t="s">
        <v>604</v>
      </c>
      <c r="B115" s="138" t="s">
        <v>605</v>
      </c>
      <c r="C115" s="150" t="s">
        <v>1051</v>
      </c>
      <c r="D115" s="138" t="s">
        <v>452</v>
      </c>
      <c r="E115" s="182">
        <v>0.04</v>
      </c>
      <c r="F115" s="139">
        <f t="shared" ref="F115:F133" si="10">E115*1.15</f>
        <v>4.5999999999999999E-2</v>
      </c>
      <c r="G115" s="183">
        <v>500</v>
      </c>
      <c r="H115" s="139">
        <f t="shared" ref="H115:H133" si="11">G115*F115*1.19</f>
        <v>27.369999999999997</v>
      </c>
    </row>
    <row r="116" spans="1:8" ht="22.5" x14ac:dyDescent="0.2">
      <c r="A116" s="138" t="s">
        <v>604</v>
      </c>
      <c r="B116" s="138" t="s">
        <v>605</v>
      </c>
      <c r="C116" s="150" t="s">
        <v>617</v>
      </c>
      <c r="D116" s="138" t="s">
        <v>452</v>
      </c>
      <c r="E116" s="182">
        <v>22</v>
      </c>
      <c r="F116" s="139">
        <f t="shared" si="10"/>
        <v>25.299999999999997</v>
      </c>
      <c r="G116" s="183">
        <v>10</v>
      </c>
      <c r="H116" s="139">
        <f t="shared" si="11"/>
        <v>301.06999999999994</v>
      </c>
    </row>
    <row r="117" spans="1:8" ht="22.5" x14ac:dyDescent="0.2">
      <c r="A117" s="138" t="s">
        <v>604</v>
      </c>
      <c r="B117" s="138" t="s">
        <v>605</v>
      </c>
      <c r="C117" s="150" t="s">
        <v>615</v>
      </c>
      <c r="D117" s="138" t="s">
        <v>616</v>
      </c>
      <c r="E117" s="182">
        <v>22</v>
      </c>
      <c r="F117" s="139">
        <f t="shared" si="10"/>
        <v>25.299999999999997</v>
      </c>
      <c r="G117" s="183">
        <v>20</v>
      </c>
      <c r="H117" s="139">
        <f t="shared" si="11"/>
        <v>602.13999999999987</v>
      </c>
    </row>
    <row r="118" spans="1:8" ht="22.5" x14ac:dyDescent="0.2">
      <c r="A118" s="138" t="s">
        <v>604</v>
      </c>
      <c r="B118" s="138" t="s">
        <v>605</v>
      </c>
      <c r="C118" s="150" t="s">
        <v>1052</v>
      </c>
      <c r="D118" s="138" t="s">
        <v>452</v>
      </c>
      <c r="E118" s="182">
        <v>24.79</v>
      </c>
      <c r="F118" s="139">
        <f t="shared" si="10"/>
        <v>28.508499999999998</v>
      </c>
      <c r="G118" s="183">
        <v>20</v>
      </c>
      <c r="H118" s="139">
        <f t="shared" si="11"/>
        <v>678.50229999999988</v>
      </c>
    </row>
    <row r="119" spans="1:8" ht="22.5" x14ac:dyDescent="0.2">
      <c r="A119" s="138" t="s">
        <v>604</v>
      </c>
      <c r="B119" s="138" t="s">
        <v>605</v>
      </c>
      <c r="C119" s="150" t="s">
        <v>634</v>
      </c>
      <c r="D119" s="138" t="s">
        <v>452</v>
      </c>
      <c r="E119" s="182">
        <v>6</v>
      </c>
      <c r="F119" s="139">
        <f t="shared" si="10"/>
        <v>6.8999999999999995</v>
      </c>
      <c r="G119" s="183">
        <v>10</v>
      </c>
      <c r="H119" s="139">
        <f t="shared" si="11"/>
        <v>82.11</v>
      </c>
    </row>
    <row r="120" spans="1:8" ht="22.5" x14ac:dyDescent="0.2">
      <c r="A120" s="138" t="s">
        <v>604</v>
      </c>
      <c r="B120" s="138" t="s">
        <v>605</v>
      </c>
      <c r="C120" s="150" t="s">
        <v>630</v>
      </c>
      <c r="D120" s="138" t="s">
        <v>452</v>
      </c>
      <c r="E120" s="182">
        <v>29.5</v>
      </c>
      <c r="F120" s="139">
        <f t="shared" si="10"/>
        <v>33.924999999999997</v>
      </c>
      <c r="G120" s="183">
        <v>25</v>
      </c>
      <c r="H120" s="139">
        <f t="shared" si="11"/>
        <v>1009.2687499999998</v>
      </c>
    </row>
    <row r="121" spans="1:8" ht="22.5" x14ac:dyDescent="0.2">
      <c r="A121" s="138" t="s">
        <v>604</v>
      </c>
      <c r="B121" s="138" t="s">
        <v>605</v>
      </c>
      <c r="C121" s="150" t="s">
        <v>618</v>
      </c>
      <c r="D121" s="138" t="s">
        <v>452</v>
      </c>
      <c r="E121" s="182">
        <v>1.9</v>
      </c>
      <c r="F121" s="139">
        <f t="shared" si="10"/>
        <v>2.1849999999999996</v>
      </c>
      <c r="G121" s="183">
        <v>4500</v>
      </c>
      <c r="H121" s="139">
        <f t="shared" si="11"/>
        <v>11700.674999999997</v>
      </c>
    </row>
    <row r="122" spans="1:8" ht="22.5" x14ac:dyDescent="0.2">
      <c r="A122" s="138" t="s">
        <v>604</v>
      </c>
      <c r="B122" s="138" t="s">
        <v>605</v>
      </c>
      <c r="C122" s="150" t="s">
        <v>607</v>
      </c>
      <c r="D122" s="138" t="s">
        <v>452</v>
      </c>
      <c r="E122" s="182">
        <v>0.1</v>
      </c>
      <c r="F122" s="139">
        <f t="shared" si="10"/>
        <v>0.11499999999999999</v>
      </c>
      <c r="G122" s="183">
        <v>5000</v>
      </c>
      <c r="H122" s="139">
        <f t="shared" si="11"/>
        <v>684.25</v>
      </c>
    </row>
    <row r="123" spans="1:8" ht="22.5" x14ac:dyDescent="0.2">
      <c r="A123" s="138" t="s">
        <v>604</v>
      </c>
      <c r="B123" s="138" t="s">
        <v>605</v>
      </c>
      <c r="C123" s="150" t="s">
        <v>608</v>
      </c>
      <c r="D123" s="138" t="s">
        <v>452</v>
      </c>
      <c r="E123" s="182">
        <v>0.13</v>
      </c>
      <c r="F123" s="139">
        <f t="shared" si="10"/>
        <v>0.14949999999999999</v>
      </c>
      <c r="G123" s="183">
        <v>3500</v>
      </c>
      <c r="H123" s="139">
        <f t="shared" si="11"/>
        <v>622.66750000000002</v>
      </c>
    </row>
    <row r="124" spans="1:8" ht="22.5" x14ac:dyDescent="0.2">
      <c r="A124" s="138" t="s">
        <v>604</v>
      </c>
      <c r="B124" s="138" t="s">
        <v>605</v>
      </c>
      <c r="C124" s="150" t="s">
        <v>610</v>
      </c>
      <c r="D124" s="138" t="s">
        <v>452</v>
      </c>
      <c r="E124" s="182">
        <v>7</v>
      </c>
      <c r="F124" s="139">
        <f t="shared" si="10"/>
        <v>8.0499999999999989</v>
      </c>
      <c r="G124" s="183">
        <v>5</v>
      </c>
      <c r="H124" s="139">
        <f t="shared" si="11"/>
        <v>47.897499999999987</v>
      </c>
    </row>
    <row r="125" spans="1:8" ht="22.5" x14ac:dyDescent="0.2">
      <c r="A125" s="138" t="s">
        <v>604</v>
      </c>
      <c r="B125" s="138" t="s">
        <v>605</v>
      </c>
      <c r="C125" s="150" t="s">
        <v>1056</v>
      </c>
      <c r="D125" s="138" t="s">
        <v>452</v>
      </c>
      <c r="E125" s="182">
        <v>8</v>
      </c>
      <c r="F125" s="139">
        <f t="shared" si="10"/>
        <v>9.1999999999999993</v>
      </c>
      <c r="G125" s="183">
        <v>10</v>
      </c>
      <c r="H125" s="139">
        <f t="shared" si="11"/>
        <v>109.47999999999999</v>
      </c>
    </row>
    <row r="126" spans="1:8" ht="22.5" x14ac:dyDescent="0.2">
      <c r="A126" s="138" t="s">
        <v>604</v>
      </c>
      <c r="B126" s="138" t="s">
        <v>605</v>
      </c>
      <c r="C126" s="150" t="s">
        <v>1057</v>
      </c>
      <c r="D126" s="138" t="s">
        <v>616</v>
      </c>
      <c r="E126" s="182">
        <v>0.1</v>
      </c>
      <c r="F126" s="139">
        <f t="shared" si="10"/>
        <v>0.11499999999999999</v>
      </c>
      <c r="G126" s="183">
        <v>2200</v>
      </c>
      <c r="H126" s="139">
        <f t="shared" si="11"/>
        <v>301.06999999999994</v>
      </c>
    </row>
    <row r="127" spans="1:8" ht="22.5" x14ac:dyDescent="0.2">
      <c r="A127" s="138" t="s">
        <v>604</v>
      </c>
      <c r="B127" s="138" t="s">
        <v>605</v>
      </c>
      <c r="C127" s="150" t="s">
        <v>1058</v>
      </c>
      <c r="D127" s="138" t="s">
        <v>452</v>
      </c>
      <c r="E127" s="182">
        <v>0.1</v>
      </c>
      <c r="F127" s="139">
        <f t="shared" si="10"/>
        <v>0.11499999999999999</v>
      </c>
      <c r="G127" s="183">
        <v>1000</v>
      </c>
      <c r="H127" s="139">
        <f t="shared" si="11"/>
        <v>136.84999999999997</v>
      </c>
    </row>
    <row r="128" spans="1:8" ht="22.5" x14ac:dyDescent="0.2">
      <c r="A128" s="138" t="s">
        <v>604</v>
      </c>
      <c r="B128" s="138" t="s">
        <v>605</v>
      </c>
      <c r="C128" s="150" t="s">
        <v>609</v>
      </c>
      <c r="D128" s="138" t="s">
        <v>452</v>
      </c>
      <c r="E128" s="182">
        <v>3.5</v>
      </c>
      <c r="F128" s="139">
        <f t="shared" si="10"/>
        <v>4.0249999999999995</v>
      </c>
      <c r="G128" s="183">
        <v>4500</v>
      </c>
      <c r="H128" s="139">
        <f t="shared" si="11"/>
        <v>21553.874999999996</v>
      </c>
    </row>
    <row r="129" spans="1:8" ht="22.5" x14ac:dyDescent="0.2">
      <c r="A129" s="138" t="s">
        <v>604</v>
      </c>
      <c r="B129" s="138" t="s">
        <v>605</v>
      </c>
      <c r="C129" s="150" t="s">
        <v>606</v>
      </c>
      <c r="D129" s="138" t="s">
        <v>452</v>
      </c>
      <c r="E129" s="182">
        <v>3.5</v>
      </c>
      <c r="F129" s="139">
        <f t="shared" si="10"/>
        <v>4.0249999999999995</v>
      </c>
      <c r="G129" s="183">
        <v>2500</v>
      </c>
      <c r="H129" s="139">
        <f t="shared" si="11"/>
        <v>11974.374999999998</v>
      </c>
    </row>
    <row r="130" spans="1:8" ht="22.5" x14ac:dyDescent="0.2">
      <c r="A130" s="138" t="s">
        <v>604</v>
      </c>
      <c r="B130" s="138" t="s">
        <v>605</v>
      </c>
      <c r="C130" s="150" t="s">
        <v>614</v>
      </c>
      <c r="D130" s="138" t="s">
        <v>452</v>
      </c>
      <c r="E130" s="182">
        <v>0.1</v>
      </c>
      <c r="F130" s="139">
        <f t="shared" si="10"/>
        <v>0.11499999999999999</v>
      </c>
      <c r="G130" s="183">
        <v>2000</v>
      </c>
      <c r="H130" s="139">
        <f t="shared" si="11"/>
        <v>273.69999999999993</v>
      </c>
    </row>
    <row r="131" spans="1:8" ht="22.5" x14ac:dyDescent="0.2">
      <c r="A131" s="138" t="s">
        <v>604</v>
      </c>
      <c r="B131" s="138" t="s">
        <v>605</v>
      </c>
      <c r="C131" s="150" t="s">
        <v>1059</v>
      </c>
      <c r="D131" s="138" t="s">
        <v>452</v>
      </c>
      <c r="E131" s="182">
        <v>0.08</v>
      </c>
      <c r="F131" s="139">
        <f t="shared" si="10"/>
        <v>9.1999999999999998E-2</v>
      </c>
      <c r="G131" s="183">
        <v>500</v>
      </c>
      <c r="H131" s="139">
        <f t="shared" si="11"/>
        <v>54.739999999999995</v>
      </c>
    </row>
    <row r="132" spans="1:8" ht="22.5" x14ac:dyDescent="0.2">
      <c r="A132" s="138" t="s">
        <v>604</v>
      </c>
      <c r="B132" s="138" t="s">
        <v>605</v>
      </c>
      <c r="C132" s="150" t="s">
        <v>1060</v>
      </c>
      <c r="D132" s="138" t="s">
        <v>452</v>
      </c>
      <c r="E132" s="182">
        <v>0.08</v>
      </c>
      <c r="F132" s="139">
        <f t="shared" si="10"/>
        <v>9.1999999999999998E-2</v>
      </c>
      <c r="G132" s="183">
        <v>200</v>
      </c>
      <c r="H132" s="139">
        <f t="shared" si="11"/>
        <v>21.895999999999997</v>
      </c>
    </row>
    <row r="133" spans="1:8" ht="22.5" x14ac:dyDescent="0.2">
      <c r="A133" s="138" t="s">
        <v>604</v>
      </c>
      <c r="B133" s="138" t="s">
        <v>605</v>
      </c>
      <c r="C133" s="150" t="s">
        <v>1065</v>
      </c>
      <c r="D133" s="138" t="s">
        <v>452</v>
      </c>
      <c r="E133" s="182">
        <v>0.1</v>
      </c>
      <c r="F133" s="139">
        <f t="shared" si="10"/>
        <v>0.11499999999999999</v>
      </c>
      <c r="G133" s="183">
        <v>500</v>
      </c>
      <c r="H133" s="139">
        <f t="shared" si="11"/>
        <v>68.424999999999983</v>
      </c>
    </row>
    <row r="134" spans="1:8" ht="22.5" x14ac:dyDescent="0.2">
      <c r="A134" s="138" t="s">
        <v>604</v>
      </c>
      <c r="B134" s="138" t="s">
        <v>605</v>
      </c>
      <c r="C134" s="150" t="s">
        <v>1070</v>
      </c>
      <c r="D134" s="138" t="s">
        <v>452</v>
      </c>
      <c r="E134" s="182">
        <v>0.04</v>
      </c>
      <c r="F134" s="139">
        <f t="shared" si="8"/>
        <v>4.5999999999999999E-2</v>
      </c>
      <c r="G134" s="183">
        <v>500</v>
      </c>
      <c r="H134" s="139">
        <f t="shared" ref="H134:H144" si="12">G134*F134*1.19</f>
        <v>27.369999999999997</v>
      </c>
    </row>
    <row r="135" spans="1:8" ht="22.5" x14ac:dyDescent="0.2">
      <c r="A135" s="138" t="s">
        <v>604</v>
      </c>
      <c r="B135" s="138" t="s">
        <v>605</v>
      </c>
      <c r="C135" s="150" t="s">
        <v>629</v>
      </c>
      <c r="D135" s="138" t="s">
        <v>616</v>
      </c>
      <c r="E135" s="182">
        <v>25</v>
      </c>
      <c r="F135" s="139">
        <f t="shared" si="8"/>
        <v>28.749999999999996</v>
      </c>
      <c r="G135" s="183">
        <v>1</v>
      </c>
      <c r="H135" s="139">
        <f t="shared" si="12"/>
        <v>34.212499999999991</v>
      </c>
    </row>
    <row r="136" spans="1:8" ht="22.5" x14ac:dyDescent="0.2">
      <c r="A136" s="138" t="s">
        <v>604</v>
      </c>
      <c r="B136" s="138" t="s">
        <v>605</v>
      </c>
      <c r="C136" s="150" t="s">
        <v>611</v>
      </c>
      <c r="D136" s="138" t="s">
        <v>452</v>
      </c>
      <c r="E136" s="182">
        <v>26</v>
      </c>
      <c r="F136" s="139">
        <f t="shared" si="8"/>
        <v>29.9</v>
      </c>
      <c r="G136" s="183">
        <v>5</v>
      </c>
      <c r="H136" s="139">
        <f t="shared" si="12"/>
        <v>177.905</v>
      </c>
    </row>
    <row r="137" spans="1:8" ht="22.5" x14ac:dyDescent="0.2">
      <c r="A137" s="138" t="s">
        <v>604</v>
      </c>
      <c r="B137" s="138" t="s">
        <v>605</v>
      </c>
      <c r="C137" s="150" t="s">
        <v>624</v>
      </c>
      <c r="D137" s="138" t="s">
        <v>452</v>
      </c>
      <c r="E137" s="182">
        <v>25</v>
      </c>
      <c r="F137" s="139">
        <f t="shared" si="8"/>
        <v>28.749999999999996</v>
      </c>
      <c r="G137" s="183">
        <v>1</v>
      </c>
      <c r="H137" s="139">
        <f t="shared" si="12"/>
        <v>34.212499999999991</v>
      </c>
    </row>
    <row r="138" spans="1:8" ht="22.5" x14ac:dyDescent="0.2">
      <c r="A138" s="138" t="s">
        <v>604</v>
      </c>
      <c r="B138" s="138" t="s">
        <v>605</v>
      </c>
      <c r="C138" s="150" t="s">
        <v>628</v>
      </c>
      <c r="D138" s="138" t="s">
        <v>452</v>
      </c>
      <c r="E138" s="182">
        <v>25</v>
      </c>
      <c r="F138" s="139">
        <f t="shared" si="8"/>
        <v>28.749999999999996</v>
      </c>
      <c r="G138" s="183">
        <v>1</v>
      </c>
      <c r="H138" s="139">
        <f t="shared" si="12"/>
        <v>34.212499999999991</v>
      </c>
    </row>
    <row r="139" spans="1:8" ht="22.5" x14ac:dyDescent="0.2">
      <c r="A139" s="138" t="s">
        <v>604</v>
      </c>
      <c r="B139" s="138" t="s">
        <v>605</v>
      </c>
      <c r="C139" s="150" t="s">
        <v>627</v>
      </c>
      <c r="D139" s="138" t="s">
        <v>616</v>
      </c>
      <c r="E139" s="182">
        <v>25</v>
      </c>
      <c r="F139" s="139">
        <f t="shared" si="8"/>
        <v>28.749999999999996</v>
      </c>
      <c r="G139" s="183">
        <v>4</v>
      </c>
      <c r="H139" s="139">
        <f t="shared" si="12"/>
        <v>136.84999999999997</v>
      </c>
    </row>
    <row r="140" spans="1:8" ht="22.5" x14ac:dyDescent="0.2">
      <c r="A140" s="138" t="s">
        <v>604</v>
      </c>
      <c r="B140" s="138" t="s">
        <v>605</v>
      </c>
      <c r="C140" s="150" t="s">
        <v>612</v>
      </c>
      <c r="D140" s="138" t="s">
        <v>452</v>
      </c>
      <c r="E140" s="182">
        <v>25</v>
      </c>
      <c r="F140" s="139">
        <f t="shared" si="8"/>
        <v>28.749999999999996</v>
      </c>
      <c r="G140" s="183">
        <v>5</v>
      </c>
      <c r="H140" s="139">
        <f t="shared" si="12"/>
        <v>171.06249999999997</v>
      </c>
    </row>
    <row r="141" spans="1:8" ht="22.5" x14ac:dyDescent="0.2">
      <c r="A141" s="138" t="s">
        <v>604</v>
      </c>
      <c r="B141" s="138" t="s">
        <v>605</v>
      </c>
      <c r="C141" s="150" t="s">
        <v>635</v>
      </c>
      <c r="D141" s="138" t="s">
        <v>637</v>
      </c>
      <c r="E141" s="182">
        <v>35</v>
      </c>
      <c r="F141" s="139">
        <f t="shared" si="8"/>
        <v>40.25</v>
      </c>
      <c r="G141" s="183">
        <v>3</v>
      </c>
      <c r="H141" s="139">
        <f t="shared" si="12"/>
        <v>143.6925</v>
      </c>
    </row>
    <row r="142" spans="1:8" ht="22.5" x14ac:dyDescent="0.2">
      <c r="A142" s="138" t="s">
        <v>604</v>
      </c>
      <c r="B142" s="138" t="s">
        <v>605</v>
      </c>
      <c r="C142" s="150" t="s">
        <v>626</v>
      </c>
      <c r="D142" s="138" t="s">
        <v>452</v>
      </c>
      <c r="E142" s="182">
        <v>25</v>
      </c>
      <c r="F142" s="139">
        <f t="shared" si="8"/>
        <v>28.749999999999996</v>
      </c>
      <c r="G142" s="183">
        <v>1</v>
      </c>
      <c r="H142" s="139">
        <f t="shared" si="12"/>
        <v>34.212499999999991</v>
      </c>
    </row>
    <row r="143" spans="1:8" ht="22.5" x14ac:dyDescent="0.2">
      <c r="A143" s="138" t="s">
        <v>604</v>
      </c>
      <c r="B143" s="138" t="s">
        <v>605</v>
      </c>
      <c r="C143" s="150" t="s">
        <v>625</v>
      </c>
      <c r="D143" s="138" t="s">
        <v>452</v>
      </c>
      <c r="E143" s="182">
        <v>25</v>
      </c>
      <c r="F143" s="139">
        <f t="shared" si="8"/>
        <v>28.749999999999996</v>
      </c>
      <c r="G143" s="183">
        <v>1</v>
      </c>
      <c r="H143" s="139">
        <f t="shared" si="12"/>
        <v>34.212499999999991</v>
      </c>
    </row>
    <row r="144" spans="1:8" ht="22.5" x14ac:dyDescent="0.2">
      <c r="A144" s="138" t="s">
        <v>604</v>
      </c>
      <c r="B144" s="138" t="s">
        <v>605</v>
      </c>
      <c r="C144" s="150" t="s">
        <v>632</v>
      </c>
      <c r="D144" s="138" t="s">
        <v>452</v>
      </c>
      <c r="E144" s="182">
        <v>4.5</v>
      </c>
      <c r="F144" s="139">
        <f t="shared" si="8"/>
        <v>5.1749999999999998</v>
      </c>
      <c r="G144" s="183">
        <v>50</v>
      </c>
      <c r="H144" s="139">
        <f t="shared" si="12"/>
        <v>307.91249999999997</v>
      </c>
    </row>
    <row r="145" spans="1:8" ht="22.5" x14ac:dyDescent="0.2">
      <c r="A145" s="138" t="s">
        <v>604</v>
      </c>
      <c r="B145" s="138" t="s">
        <v>605</v>
      </c>
      <c r="C145" s="150" t="s">
        <v>1075</v>
      </c>
      <c r="D145" s="138" t="s">
        <v>452</v>
      </c>
      <c r="E145" s="182">
        <v>0.05</v>
      </c>
      <c r="F145" s="139">
        <f t="shared" ref="F145:F158" si="13">E145*1.15</f>
        <v>5.7499999999999996E-2</v>
      </c>
      <c r="G145" s="183">
        <v>500</v>
      </c>
      <c r="H145" s="139">
        <f t="shared" ref="H145:H158" si="14">G145*F145*1.19</f>
        <v>34.212499999999991</v>
      </c>
    </row>
    <row r="146" spans="1:8" ht="22.5" x14ac:dyDescent="0.2">
      <c r="A146" s="138" t="s">
        <v>604</v>
      </c>
      <c r="B146" s="138" t="s">
        <v>605</v>
      </c>
      <c r="C146" s="150" t="s">
        <v>1064</v>
      </c>
      <c r="D146" s="138" t="s">
        <v>452</v>
      </c>
      <c r="E146" s="182">
        <v>0.04</v>
      </c>
      <c r="F146" s="139">
        <f t="shared" si="13"/>
        <v>4.5999999999999999E-2</v>
      </c>
      <c r="G146" s="183">
        <v>3000</v>
      </c>
      <c r="H146" s="139">
        <f t="shared" si="14"/>
        <v>164.22</v>
      </c>
    </row>
    <row r="147" spans="1:8" ht="22.5" x14ac:dyDescent="0.2">
      <c r="A147" s="138" t="s">
        <v>604</v>
      </c>
      <c r="B147" s="138" t="s">
        <v>605</v>
      </c>
      <c r="C147" s="150" t="s">
        <v>613</v>
      </c>
      <c r="D147" s="138" t="s">
        <v>452</v>
      </c>
      <c r="E147" s="182">
        <v>7.0000000000000007E-2</v>
      </c>
      <c r="F147" s="139">
        <f t="shared" si="13"/>
        <v>8.0500000000000002E-2</v>
      </c>
      <c r="G147" s="183">
        <v>4000</v>
      </c>
      <c r="H147" s="139">
        <f t="shared" si="14"/>
        <v>383.18</v>
      </c>
    </row>
    <row r="148" spans="1:8" ht="22.5" x14ac:dyDescent="0.2">
      <c r="A148" s="138" t="s">
        <v>604</v>
      </c>
      <c r="B148" s="138" t="s">
        <v>605</v>
      </c>
      <c r="C148" s="150" t="s">
        <v>1066</v>
      </c>
      <c r="D148" s="138" t="s">
        <v>452</v>
      </c>
      <c r="E148" s="182">
        <v>0.08</v>
      </c>
      <c r="F148" s="139">
        <f t="shared" si="13"/>
        <v>9.1999999999999998E-2</v>
      </c>
      <c r="G148" s="183">
        <v>2000</v>
      </c>
      <c r="H148" s="139">
        <f t="shared" si="14"/>
        <v>218.95999999999998</v>
      </c>
    </row>
    <row r="149" spans="1:8" ht="22.5" x14ac:dyDescent="0.2">
      <c r="A149" s="138" t="s">
        <v>604</v>
      </c>
      <c r="B149" s="138" t="s">
        <v>605</v>
      </c>
      <c r="C149" s="150" t="s">
        <v>631</v>
      </c>
      <c r="D149" s="138" t="s">
        <v>452</v>
      </c>
      <c r="E149" s="182">
        <v>0.12</v>
      </c>
      <c r="F149" s="139">
        <f t="shared" si="13"/>
        <v>0.13799999999999998</v>
      </c>
      <c r="G149" s="183">
        <v>15000</v>
      </c>
      <c r="H149" s="139">
        <f t="shared" si="14"/>
        <v>2463.2999999999993</v>
      </c>
    </row>
    <row r="150" spans="1:8" ht="22.5" x14ac:dyDescent="0.2">
      <c r="A150" s="138" t="s">
        <v>604</v>
      </c>
      <c r="B150" s="138" t="s">
        <v>605</v>
      </c>
      <c r="C150" s="150" t="s">
        <v>621</v>
      </c>
      <c r="D150" s="138" t="s">
        <v>452</v>
      </c>
      <c r="E150" s="182">
        <v>0.08</v>
      </c>
      <c r="F150" s="139">
        <f t="shared" si="13"/>
        <v>9.1999999999999998E-2</v>
      </c>
      <c r="G150" s="183">
        <v>10000</v>
      </c>
      <c r="H150" s="139">
        <f t="shared" si="14"/>
        <v>1094.8</v>
      </c>
    </row>
    <row r="151" spans="1:8" ht="22.5" x14ac:dyDescent="0.2">
      <c r="A151" s="138" t="s">
        <v>604</v>
      </c>
      <c r="B151" s="138" t="s">
        <v>605</v>
      </c>
      <c r="C151" s="150" t="s">
        <v>619</v>
      </c>
      <c r="D151" s="138" t="s">
        <v>452</v>
      </c>
      <c r="E151" s="182">
        <v>0.04</v>
      </c>
      <c r="F151" s="139">
        <f t="shared" si="13"/>
        <v>4.5999999999999999E-2</v>
      </c>
      <c r="G151" s="183">
        <v>9000</v>
      </c>
      <c r="H151" s="139">
        <f t="shared" si="14"/>
        <v>492.65999999999997</v>
      </c>
    </row>
    <row r="152" spans="1:8" ht="22.5" x14ac:dyDescent="0.2">
      <c r="A152" s="138" t="s">
        <v>604</v>
      </c>
      <c r="B152" s="138" t="s">
        <v>605</v>
      </c>
      <c r="C152" s="150" t="s">
        <v>623</v>
      </c>
      <c r="D152" s="138" t="s">
        <v>452</v>
      </c>
      <c r="E152" s="182">
        <v>0.04</v>
      </c>
      <c r="F152" s="139">
        <f t="shared" si="13"/>
        <v>4.5999999999999999E-2</v>
      </c>
      <c r="G152" s="183">
        <v>6000</v>
      </c>
      <c r="H152" s="139">
        <f t="shared" si="14"/>
        <v>328.44</v>
      </c>
    </row>
    <row r="153" spans="1:8" ht="22.5" x14ac:dyDescent="0.2">
      <c r="A153" s="138" t="s">
        <v>604</v>
      </c>
      <c r="B153" s="138" t="s">
        <v>605</v>
      </c>
      <c r="C153" s="150" t="s">
        <v>620</v>
      </c>
      <c r="D153" s="138" t="s">
        <v>452</v>
      </c>
      <c r="E153" s="182">
        <v>0.04</v>
      </c>
      <c r="F153" s="139">
        <f t="shared" si="13"/>
        <v>4.5999999999999999E-2</v>
      </c>
      <c r="G153" s="183">
        <v>6000</v>
      </c>
      <c r="H153" s="139">
        <f t="shared" si="14"/>
        <v>328.44</v>
      </c>
    </row>
    <row r="154" spans="1:8" ht="22.5" x14ac:dyDescent="0.2">
      <c r="A154" s="138" t="s">
        <v>604</v>
      </c>
      <c r="B154" s="138" t="s">
        <v>605</v>
      </c>
      <c r="C154" s="150" t="s">
        <v>620</v>
      </c>
      <c r="D154" s="138" t="s">
        <v>452</v>
      </c>
      <c r="E154" s="182">
        <v>0.08</v>
      </c>
      <c r="F154" s="139">
        <f t="shared" si="13"/>
        <v>9.1999999999999998E-2</v>
      </c>
      <c r="G154" s="183">
        <v>5000</v>
      </c>
      <c r="H154" s="139">
        <f t="shared" si="14"/>
        <v>547.4</v>
      </c>
    </row>
    <row r="155" spans="1:8" ht="22.5" x14ac:dyDescent="0.2">
      <c r="A155" s="138" t="s">
        <v>604</v>
      </c>
      <c r="B155" s="138" t="s">
        <v>605</v>
      </c>
      <c r="C155" s="150" t="s">
        <v>622</v>
      </c>
      <c r="D155" s="138" t="s">
        <v>452</v>
      </c>
      <c r="E155" s="182">
        <v>0.12</v>
      </c>
      <c r="F155" s="139">
        <f t="shared" si="13"/>
        <v>0.13799999999999998</v>
      </c>
      <c r="G155" s="183">
        <v>18000</v>
      </c>
      <c r="H155" s="139">
        <f t="shared" si="14"/>
        <v>2955.9599999999991</v>
      </c>
    </row>
    <row r="156" spans="1:8" ht="22.5" x14ac:dyDescent="0.2">
      <c r="A156" s="138" t="s">
        <v>604</v>
      </c>
      <c r="B156" s="138" t="s">
        <v>605</v>
      </c>
      <c r="C156" s="150" t="s">
        <v>1067</v>
      </c>
      <c r="D156" s="138" t="s">
        <v>452</v>
      </c>
      <c r="E156" s="182">
        <v>0.09</v>
      </c>
      <c r="F156" s="139">
        <f t="shared" si="13"/>
        <v>0.10349999999999999</v>
      </c>
      <c r="G156" s="183">
        <v>6000</v>
      </c>
      <c r="H156" s="139">
        <f t="shared" si="14"/>
        <v>738.99</v>
      </c>
    </row>
    <row r="157" spans="1:8" ht="22.5" x14ac:dyDescent="0.2">
      <c r="A157" s="138" t="s">
        <v>604</v>
      </c>
      <c r="B157" s="138" t="s">
        <v>605</v>
      </c>
      <c r="C157" s="150" t="s">
        <v>1068</v>
      </c>
      <c r="D157" s="138" t="s">
        <v>452</v>
      </c>
      <c r="E157" s="182">
        <v>0.04</v>
      </c>
      <c r="F157" s="139">
        <f t="shared" si="13"/>
        <v>4.5999999999999999E-2</v>
      </c>
      <c r="G157" s="183">
        <v>5000</v>
      </c>
      <c r="H157" s="139">
        <f t="shared" si="14"/>
        <v>273.7</v>
      </c>
    </row>
    <row r="158" spans="1:8" ht="22.5" x14ac:dyDescent="0.2">
      <c r="A158" s="138" t="s">
        <v>604</v>
      </c>
      <c r="B158" s="138" t="s">
        <v>605</v>
      </c>
      <c r="C158" s="150" t="s">
        <v>1069</v>
      </c>
      <c r="D158" s="138" t="s">
        <v>452</v>
      </c>
      <c r="E158" s="182">
        <v>0.04</v>
      </c>
      <c r="F158" s="139">
        <f t="shared" si="13"/>
        <v>4.5999999999999999E-2</v>
      </c>
      <c r="G158" s="183">
        <v>3000</v>
      </c>
      <c r="H158" s="139">
        <f t="shared" si="14"/>
        <v>164.22</v>
      </c>
    </row>
    <row r="159" spans="1:8" ht="22.5" x14ac:dyDescent="0.2">
      <c r="A159" s="138" t="s">
        <v>604</v>
      </c>
      <c r="B159" s="138" t="s">
        <v>605</v>
      </c>
      <c r="C159" s="150" t="s">
        <v>1048</v>
      </c>
      <c r="D159" s="138" t="s">
        <v>452</v>
      </c>
      <c r="E159" s="182">
        <v>200</v>
      </c>
      <c r="F159" s="139">
        <f t="shared" si="8"/>
        <v>229.99999999999997</v>
      </c>
      <c r="G159" s="183">
        <v>6</v>
      </c>
      <c r="H159" s="139">
        <f t="shared" si="9"/>
        <v>1642.1999999999996</v>
      </c>
    </row>
    <row r="160" spans="1:8" ht="22.5" x14ac:dyDescent="0.2">
      <c r="A160" s="138" t="s">
        <v>604</v>
      </c>
      <c r="B160" s="138" t="s">
        <v>605</v>
      </c>
      <c r="C160" s="150" t="s">
        <v>639</v>
      </c>
      <c r="D160" s="138" t="s">
        <v>452</v>
      </c>
      <c r="E160" s="182">
        <v>1130</v>
      </c>
      <c r="F160" s="139">
        <f t="shared" si="8"/>
        <v>1299.5</v>
      </c>
      <c r="G160" s="183">
        <v>3</v>
      </c>
      <c r="H160" s="139">
        <f t="shared" si="9"/>
        <v>4639.2150000000001</v>
      </c>
    </row>
    <row r="161" spans="1:8" ht="22.5" x14ac:dyDescent="0.2">
      <c r="A161" s="138" t="s">
        <v>604</v>
      </c>
      <c r="B161" s="138" t="s">
        <v>605</v>
      </c>
      <c r="C161" s="150" t="s">
        <v>1049</v>
      </c>
      <c r="D161" s="138" t="s">
        <v>533</v>
      </c>
      <c r="E161" s="182">
        <v>1372</v>
      </c>
      <c r="F161" s="139">
        <f t="shared" si="8"/>
        <v>1577.8</v>
      </c>
      <c r="G161" s="183">
        <v>2</v>
      </c>
      <c r="H161" s="139">
        <f t="shared" si="9"/>
        <v>3755.1639999999998</v>
      </c>
    </row>
    <row r="162" spans="1:8" ht="22.5" x14ac:dyDescent="0.2">
      <c r="A162" s="138" t="s">
        <v>604</v>
      </c>
      <c r="B162" s="138" t="s">
        <v>605</v>
      </c>
      <c r="C162" s="150" t="s">
        <v>1050</v>
      </c>
      <c r="D162" s="138" t="s">
        <v>452</v>
      </c>
      <c r="E162" s="182">
        <v>1372</v>
      </c>
      <c r="F162" s="139">
        <f t="shared" si="8"/>
        <v>1577.8</v>
      </c>
      <c r="G162" s="183">
        <v>2</v>
      </c>
      <c r="H162" s="139">
        <f t="shared" si="9"/>
        <v>3755.1639999999998</v>
      </c>
    </row>
    <row r="163" spans="1:8" ht="22.5" x14ac:dyDescent="0.2">
      <c r="A163" s="138" t="s">
        <v>604</v>
      </c>
      <c r="B163" s="138" t="s">
        <v>605</v>
      </c>
      <c r="C163" s="150" t="s">
        <v>1053</v>
      </c>
      <c r="D163" s="138" t="s">
        <v>452</v>
      </c>
      <c r="E163" s="182">
        <v>646.01</v>
      </c>
      <c r="F163" s="139">
        <f t="shared" si="8"/>
        <v>742.91149999999993</v>
      </c>
      <c r="G163" s="183">
        <v>1</v>
      </c>
      <c r="H163" s="139">
        <f t="shared" si="9"/>
        <v>884.06468499999983</v>
      </c>
    </row>
    <row r="164" spans="1:8" ht="22.5" x14ac:dyDescent="0.2">
      <c r="A164" s="138" t="s">
        <v>604</v>
      </c>
      <c r="B164" s="138" t="s">
        <v>605</v>
      </c>
      <c r="C164" s="150" t="s">
        <v>1054</v>
      </c>
      <c r="D164" s="138" t="s">
        <v>452</v>
      </c>
      <c r="E164" s="182">
        <v>358</v>
      </c>
      <c r="F164" s="139">
        <f t="shared" si="8"/>
        <v>411.7</v>
      </c>
      <c r="G164" s="183">
        <v>1</v>
      </c>
      <c r="H164" s="139">
        <f t="shared" si="9"/>
        <v>489.92299999999994</v>
      </c>
    </row>
    <row r="165" spans="1:8" ht="22.5" x14ac:dyDescent="0.2">
      <c r="A165" s="138" t="s">
        <v>604</v>
      </c>
      <c r="B165" s="138" t="s">
        <v>605</v>
      </c>
      <c r="C165" s="150" t="s">
        <v>640</v>
      </c>
      <c r="D165" s="138" t="s">
        <v>452</v>
      </c>
      <c r="E165" s="182">
        <v>218</v>
      </c>
      <c r="F165" s="139">
        <f t="shared" si="8"/>
        <v>250.7</v>
      </c>
      <c r="G165" s="183">
        <v>2</v>
      </c>
      <c r="H165" s="139">
        <f t="shared" si="9"/>
        <v>596.66599999999994</v>
      </c>
    </row>
    <row r="166" spans="1:8" ht="22.5" x14ac:dyDescent="0.2">
      <c r="A166" s="138" t="s">
        <v>604</v>
      </c>
      <c r="B166" s="138" t="s">
        <v>605</v>
      </c>
      <c r="C166" s="150" t="s">
        <v>1055</v>
      </c>
      <c r="D166" s="138" t="s">
        <v>452</v>
      </c>
      <c r="E166" s="182">
        <v>480</v>
      </c>
      <c r="F166" s="139">
        <f t="shared" si="8"/>
        <v>552</v>
      </c>
      <c r="G166" s="183">
        <v>2</v>
      </c>
      <c r="H166" s="139">
        <f t="shared" si="9"/>
        <v>1313.76</v>
      </c>
    </row>
    <row r="167" spans="1:8" ht="22.5" x14ac:dyDescent="0.2">
      <c r="A167" s="138" t="s">
        <v>604</v>
      </c>
      <c r="B167" s="138" t="s">
        <v>605</v>
      </c>
      <c r="C167" s="150" t="s">
        <v>1061</v>
      </c>
      <c r="D167" s="138" t="s">
        <v>452</v>
      </c>
      <c r="E167" s="182">
        <v>832.61</v>
      </c>
      <c r="F167" s="139">
        <f t="shared" si="8"/>
        <v>957.50149999999996</v>
      </c>
      <c r="G167" s="183">
        <v>5</v>
      </c>
      <c r="H167" s="139">
        <f t="shared" si="9"/>
        <v>5697.1339249999992</v>
      </c>
    </row>
    <row r="168" spans="1:8" ht="22.5" x14ac:dyDescent="0.2">
      <c r="A168" s="138" t="s">
        <v>604</v>
      </c>
      <c r="B168" s="138" t="s">
        <v>605</v>
      </c>
      <c r="C168" s="150" t="s">
        <v>642</v>
      </c>
      <c r="D168" s="138" t="s">
        <v>452</v>
      </c>
      <c r="E168" s="182">
        <v>332.94</v>
      </c>
      <c r="F168" s="139">
        <f t="shared" si="8"/>
        <v>382.88099999999997</v>
      </c>
      <c r="G168" s="183">
        <v>18</v>
      </c>
      <c r="H168" s="139">
        <f t="shared" si="9"/>
        <v>8201.3110199999992</v>
      </c>
    </row>
    <row r="169" spans="1:8" ht="22.5" x14ac:dyDescent="0.2">
      <c r="A169" s="138" t="s">
        <v>604</v>
      </c>
      <c r="B169" s="138" t="s">
        <v>605</v>
      </c>
      <c r="C169" s="150" t="s">
        <v>1062</v>
      </c>
      <c r="D169" s="138" t="s">
        <v>452</v>
      </c>
      <c r="E169" s="182">
        <v>800</v>
      </c>
      <c r="F169" s="139">
        <f t="shared" si="8"/>
        <v>919.99999999999989</v>
      </c>
      <c r="G169" s="183">
        <v>4</v>
      </c>
      <c r="H169" s="139">
        <f t="shared" si="9"/>
        <v>4379.1999999999989</v>
      </c>
    </row>
    <row r="170" spans="1:8" ht="22.5" x14ac:dyDescent="0.2">
      <c r="A170" s="138" t="s">
        <v>604</v>
      </c>
      <c r="B170" s="138" t="s">
        <v>605</v>
      </c>
      <c r="C170" s="150" t="s">
        <v>1073</v>
      </c>
      <c r="D170" s="138" t="s">
        <v>452</v>
      </c>
      <c r="E170" s="182">
        <v>71</v>
      </c>
      <c r="F170" s="139">
        <f t="shared" si="8"/>
        <v>81.649999999999991</v>
      </c>
      <c r="G170" s="183">
        <v>1</v>
      </c>
      <c r="H170" s="139">
        <f t="shared" si="9"/>
        <v>97.163499999999985</v>
      </c>
    </row>
    <row r="171" spans="1:8" ht="22.5" x14ac:dyDescent="0.2">
      <c r="A171" s="138" t="s">
        <v>604</v>
      </c>
      <c r="B171" s="138" t="s">
        <v>605</v>
      </c>
      <c r="C171" s="150" t="s">
        <v>653</v>
      </c>
      <c r="D171" s="138" t="s">
        <v>452</v>
      </c>
      <c r="E171" s="182">
        <v>1.2</v>
      </c>
      <c r="F171" s="139">
        <f t="shared" si="8"/>
        <v>1.38</v>
      </c>
      <c r="G171" s="183">
        <v>510</v>
      </c>
      <c r="H171" s="139">
        <f t="shared" si="9"/>
        <v>837.52199999999993</v>
      </c>
    </row>
    <row r="172" spans="1:8" ht="22.5" x14ac:dyDescent="0.2">
      <c r="A172" s="138" t="s">
        <v>604</v>
      </c>
      <c r="B172" s="138" t="s">
        <v>605</v>
      </c>
      <c r="C172" s="150" t="s">
        <v>1077</v>
      </c>
      <c r="D172" s="138" t="s">
        <v>452</v>
      </c>
      <c r="E172" s="182">
        <v>148</v>
      </c>
      <c r="F172" s="139">
        <f t="shared" si="8"/>
        <v>170.2</v>
      </c>
      <c r="G172" s="183">
        <v>1</v>
      </c>
      <c r="H172" s="139">
        <f t="shared" si="9"/>
        <v>202.53799999999998</v>
      </c>
    </row>
    <row r="173" spans="1:8" ht="22.5" x14ac:dyDescent="0.2">
      <c r="A173" s="138" t="s">
        <v>604</v>
      </c>
      <c r="B173" s="138" t="s">
        <v>605</v>
      </c>
      <c r="C173" s="138" t="s">
        <v>84</v>
      </c>
      <c r="D173" s="138" t="s">
        <v>452</v>
      </c>
      <c r="E173" s="139">
        <f t="shared" ref="E173" si="15">H173/G173</f>
        <v>9520</v>
      </c>
      <c r="F173" s="139">
        <v>8000</v>
      </c>
      <c r="G173" s="138">
        <v>1</v>
      </c>
      <c r="H173" s="139">
        <f t="shared" si="9"/>
        <v>9520</v>
      </c>
    </row>
    <row r="174" spans="1:8" ht="22.5" x14ac:dyDescent="0.2">
      <c r="A174" s="138" t="s">
        <v>604</v>
      </c>
      <c r="B174" s="138" t="s">
        <v>605</v>
      </c>
      <c r="C174" s="138" t="s">
        <v>954</v>
      </c>
      <c r="D174" s="138" t="s">
        <v>452</v>
      </c>
      <c r="E174" s="139">
        <f t="shared" ref="E174:E179" si="16">H174/G174</f>
        <v>24990</v>
      </c>
      <c r="F174" s="139">
        <v>21000</v>
      </c>
      <c r="G174" s="138">
        <v>1</v>
      </c>
      <c r="H174" s="139">
        <f t="shared" si="9"/>
        <v>24990</v>
      </c>
    </row>
    <row r="175" spans="1:8" ht="22.5" x14ac:dyDescent="0.2">
      <c r="A175" s="138" t="s">
        <v>604</v>
      </c>
      <c r="B175" s="138" t="s">
        <v>605</v>
      </c>
      <c r="C175" s="138" t="s">
        <v>953</v>
      </c>
      <c r="D175" s="138" t="s">
        <v>452</v>
      </c>
      <c r="E175" s="139">
        <f t="shared" si="16"/>
        <v>70210</v>
      </c>
      <c r="F175" s="139">
        <v>59000</v>
      </c>
      <c r="G175" s="138">
        <v>1</v>
      </c>
      <c r="H175" s="139">
        <f t="shared" si="9"/>
        <v>70210</v>
      </c>
    </row>
    <row r="176" spans="1:8" ht="22.5" x14ac:dyDescent="0.2">
      <c r="A176" s="138" t="s">
        <v>604</v>
      </c>
      <c r="B176" s="138" t="s">
        <v>605</v>
      </c>
      <c r="C176" s="138" t="s">
        <v>85</v>
      </c>
      <c r="D176" s="138" t="s">
        <v>452</v>
      </c>
      <c r="E176" s="139">
        <f t="shared" si="16"/>
        <v>11900</v>
      </c>
      <c r="F176" s="139">
        <v>10000</v>
      </c>
      <c r="G176" s="138">
        <v>1</v>
      </c>
      <c r="H176" s="139">
        <f t="shared" ref="H176:H187" si="17">G176*F176*1.19</f>
        <v>11900</v>
      </c>
    </row>
    <row r="177" spans="1:8" ht="22.5" x14ac:dyDescent="0.2">
      <c r="A177" s="138" t="s">
        <v>604</v>
      </c>
      <c r="B177" s="138" t="s">
        <v>605</v>
      </c>
      <c r="C177" s="138" t="s">
        <v>86</v>
      </c>
      <c r="D177" s="138" t="s">
        <v>452</v>
      </c>
      <c r="E177" s="139">
        <f t="shared" si="16"/>
        <v>185640</v>
      </c>
      <c r="F177" s="139">
        <v>156000</v>
      </c>
      <c r="G177" s="138">
        <v>1</v>
      </c>
      <c r="H177" s="139">
        <f t="shared" si="17"/>
        <v>185640</v>
      </c>
    </row>
    <row r="178" spans="1:8" ht="22.5" x14ac:dyDescent="0.2">
      <c r="A178" s="138" t="s">
        <v>604</v>
      </c>
      <c r="B178" s="138" t="s">
        <v>605</v>
      </c>
      <c r="C178" s="138" t="s">
        <v>955</v>
      </c>
      <c r="D178" s="138" t="s">
        <v>452</v>
      </c>
      <c r="E178" s="139">
        <f t="shared" si="16"/>
        <v>114240</v>
      </c>
      <c r="F178" s="139">
        <v>96000</v>
      </c>
      <c r="G178" s="138">
        <v>1</v>
      </c>
      <c r="H178" s="139">
        <f t="shared" si="17"/>
        <v>114240</v>
      </c>
    </row>
    <row r="179" spans="1:8" ht="22.5" x14ac:dyDescent="0.2">
      <c r="A179" s="138" t="s">
        <v>604</v>
      </c>
      <c r="B179" s="138" t="s">
        <v>605</v>
      </c>
      <c r="C179" s="138" t="s">
        <v>457</v>
      </c>
      <c r="D179" s="138" t="s">
        <v>452</v>
      </c>
      <c r="E179" s="139">
        <f t="shared" si="16"/>
        <v>57120</v>
      </c>
      <c r="F179" s="139">
        <v>48000</v>
      </c>
      <c r="G179" s="138">
        <v>1</v>
      </c>
      <c r="H179" s="139">
        <f t="shared" si="17"/>
        <v>57120</v>
      </c>
    </row>
    <row r="180" spans="1:8" ht="22.5" x14ac:dyDescent="0.2">
      <c r="A180" s="138" t="s">
        <v>604</v>
      </c>
      <c r="B180" s="138" t="s">
        <v>605</v>
      </c>
      <c r="C180" s="138" t="s">
        <v>959</v>
      </c>
      <c r="D180" s="138" t="s">
        <v>452</v>
      </c>
      <c r="E180" s="139">
        <f t="shared" ref="E180:E184" si="18">H180/G180</f>
        <v>131376</v>
      </c>
      <c r="F180" s="139">
        <v>110400</v>
      </c>
      <c r="G180" s="138">
        <v>1</v>
      </c>
      <c r="H180" s="139">
        <f t="shared" si="17"/>
        <v>131376</v>
      </c>
    </row>
    <row r="181" spans="1:8" ht="22.5" x14ac:dyDescent="0.2">
      <c r="A181" s="138" t="s">
        <v>604</v>
      </c>
      <c r="B181" s="138" t="s">
        <v>605</v>
      </c>
      <c r="C181" s="138" t="s">
        <v>958</v>
      </c>
      <c r="D181" s="138" t="s">
        <v>452</v>
      </c>
      <c r="E181" s="139">
        <f t="shared" si="18"/>
        <v>103672.79999999999</v>
      </c>
      <c r="F181" s="139">
        <v>87120</v>
      </c>
      <c r="G181" s="138">
        <v>1</v>
      </c>
      <c r="H181" s="139">
        <f t="shared" si="17"/>
        <v>103672.79999999999</v>
      </c>
    </row>
    <row r="182" spans="1:8" ht="22.5" x14ac:dyDescent="0.2">
      <c r="A182" s="138" t="s">
        <v>604</v>
      </c>
      <c r="B182" s="138" t="s">
        <v>605</v>
      </c>
      <c r="C182" s="138" t="s">
        <v>464</v>
      </c>
      <c r="D182" s="138" t="s">
        <v>452</v>
      </c>
      <c r="E182" s="139">
        <f t="shared" si="18"/>
        <v>71400</v>
      </c>
      <c r="F182" s="139">
        <v>60000</v>
      </c>
      <c r="G182" s="138">
        <v>1</v>
      </c>
      <c r="H182" s="139">
        <f t="shared" si="17"/>
        <v>71400</v>
      </c>
    </row>
    <row r="183" spans="1:8" ht="22.5" x14ac:dyDescent="0.2">
      <c r="A183" s="138" t="s">
        <v>604</v>
      </c>
      <c r="B183" s="138" t="s">
        <v>605</v>
      </c>
      <c r="C183" s="138" t="s">
        <v>957</v>
      </c>
      <c r="D183" s="138" t="s">
        <v>452</v>
      </c>
      <c r="E183" s="139">
        <f t="shared" si="18"/>
        <v>94248</v>
      </c>
      <c r="F183" s="139">
        <v>79200</v>
      </c>
      <c r="G183" s="138">
        <v>1</v>
      </c>
      <c r="H183" s="139">
        <f t="shared" si="17"/>
        <v>94248</v>
      </c>
    </row>
    <row r="184" spans="1:8" ht="22.5" x14ac:dyDescent="0.2">
      <c r="A184" s="138" t="s">
        <v>604</v>
      </c>
      <c r="B184" s="138" t="s">
        <v>605</v>
      </c>
      <c r="C184" s="138" t="s">
        <v>88</v>
      </c>
      <c r="D184" s="138" t="s">
        <v>452</v>
      </c>
      <c r="E184" s="139">
        <f t="shared" si="18"/>
        <v>59500</v>
      </c>
      <c r="F184" s="139">
        <v>50000</v>
      </c>
      <c r="G184" s="138">
        <v>1</v>
      </c>
      <c r="H184" s="139">
        <f t="shared" si="17"/>
        <v>59500</v>
      </c>
    </row>
    <row r="185" spans="1:8" ht="22.5" x14ac:dyDescent="0.2">
      <c r="A185" s="138" t="s">
        <v>604</v>
      </c>
      <c r="B185" s="138" t="s">
        <v>605</v>
      </c>
      <c r="C185" s="138" t="s">
        <v>90</v>
      </c>
      <c r="D185" s="138" t="s">
        <v>452</v>
      </c>
      <c r="E185" s="139">
        <f>G185*H185</f>
        <v>3570</v>
      </c>
      <c r="F185" s="139">
        <v>3000</v>
      </c>
      <c r="G185" s="138">
        <v>1</v>
      </c>
      <c r="H185" s="139">
        <f t="shared" si="17"/>
        <v>3570</v>
      </c>
    </row>
    <row r="186" spans="1:8" ht="22.5" x14ac:dyDescent="0.2">
      <c r="A186" s="138" t="s">
        <v>604</v>
      </c>
      <c r="B186" s="138" t="s">
        <v>605</v>
      </c>
      <c r="C186" s="150" t="s">
        <v>57</v>
      </c>
      <c r="D186" s="138" t="s">
        <v>643</v>
      </c>
      <c r="E186" s="139"/>
      <c r="F186" s="139">
        <v>476766.03</v>
      </c>
      <c r="G186" s="138">
        <v>12</v>
      </c>
      <c r="H186" s="139">
        <f t="shared" si="17"/>
        <v>6808218.9084000001</v>
      </c>
    </row>
    <row r="187" spans="1:8" ht="22.5" x14ac:dyDescent="0.2">
      <c r="A187" s="138" t="s">
        <v>604</v>
      </c>
      <c r="B187" s="138" t="s">
        <v>605</v>
      </c>
      <c r="C187" s="138" t="s">
        <v>848</v>
      </c>
      <c r="D187" s="138" t="s">
        <v>452</v>
      </c>
      <c r="E187" s="139">
        <f>G187*H187</f>
        <v>4165</v>
      </c>
      <c r="F187" s="139">
        <v>3500</v>
      </c>
      <c r="G187" s="138">
        <v>1</v>
      </c>
      <c r="H187" s="139">
        <f t="shared" si="17"/>
        <v>4165</v>
      </c>
    </row>
    <row r="188" spans="1:8" x14ac:dyDescent="0.2">
      <c r="A188" s="233" t="s">
        <v>644</v>
      </c>
      <c r="B188" s="234"/>
      <c r="C188" s="234"/>
      <c r="D188" s="234"/>
      <c r="E188" s="234"/>
      <c r="F188" s="234"/>
      <c r="G188" s="235"/>
      <c r="H188" s="140">
        <f>SUM(H111:H187)-0.03</f>
        <v>7850000.0015799999</v>
      </c>
    </row>
    <row r="189" spans="1:8" ht="33.75" x14ac:dyDescent="0.2">
      <c r="A189" s="145">
        <v>10978</v>
      </c>
      <c r="B189" s="138" t="s">
        <v>645</v>
      </c>
      <c r="C189" s="138" t="s">
        <v>98</v>
      </c>
      <c r="D189" s="138" t="s">
        <v>452</v>
      </c>
      <c r="E189" s="147">
        <f>H189/G189</f>
        <v>42840</v>
      </c>
      <c r="F189" s="185">
        <f>3000*12</f>
        <v>36000</v>
      </c>
      <c r="G189" s="148">
        <v>1</v>
      </c>
      <c r="H189" s="149">
        <f>G189*F189*1.19</f>
        <v>42840</v>
      </c>
    </row>
    <row r="190" spans="1:8" ht="33.75" x14ac:dyDescent="0.2">
      <c r="A190" s="145">
        <v>10978</v>
      </c>
      <c r="B190" s="138" t="s">
        <v>645</v>
      </c>
      <c r="C190" s="138" t="s">
        <v>99</v>
      </c>
      <c r="D190" s="138" t="s">
        <v>452</v>
      </c>
      <c r="E190" s="147">
        <f t="shared" ref="E190:E205" si="19">H190/G190</f>
        <v>171360</v>
      </c>
      <c r="F190" s="185">
        <f>12000*12</f>
        <v>144000</v>
      </c>
      <c r="G190" s="148">
        <v>1</v>
      </c>
      <c r="H190" s="149">
        <f t="shared" ref="H190:H200" si="20">G190*F190*1.19</f>
        <v>171360</v>
      </c>
    </row>
    <row r="191" spans="1:8" ht="33.75" x14ac:dyDescent="0.2">
      <c r="A191" s="145">
        <v>10978</v>
      </c>
      <c r="B191" s="138" t="s">
        <v>645</v>
      </c>
      <c r="C191" s="138" t="s">
        <v>100</v>
      </c>
      <c r="D191" s="138" t="s">
        <v>452</v>
      </c>
      <c r="E191" s="147">
        <f t="shared" si="19"/>
        <v>2527.56</v>
      </c>
      <c r="F191" s="185">
        <f>177*12</f>
        <v>2124</v>
      </c>
      <c r="G191" s="148">
        <v>1</v>
      </c>
      <c r="H191" s="149">
        <f t="shared" si="20"/>
        <v>2527.56</v>
      </c>
    </row>
    <row r="192" spans="1:8" ht="33.75" x14ac:dyDescent="0.2">
      <c r="A192" s="145">
        <v>10978</v>
      </c>
      <c r="B192" s="138" t="s">
        <v>645</v>
      </c>
      <c r="C192" s="138" t="s">
        <v>101</v>
      </c>
      <c r="D192" s="138" t="s">
        <v>452</v>
      </c>
      <c r="E192" s="147">
        <f t="shared" si="19"/>
        <v>5950</v>
      </c>
      <c r="F192" s="185">
        <v>5000</v>
      </c>
      <c r="G192" s="148">
        <v>1</v>
      </c>
      <c r="H192" s="149">
        <f t="shared" si="20"/>
        <v>5950</v>
      </c>
    </row>
    <row r="193" spans="1:8" ht="33.75" x14ac:dyDescent="0.2">
      <c r="A193" s="145">
        <v>10978</v>
      </c>
      <c r="B193" s="138" t="s">
        <v>645</v>
      </c>
      <c r="C193" s="138" t="s">
        <v>102</v>
      </c>
      <c r="D193" s="138" t="s">
        <v>452</v>
      </c>
      <c r="E193" s="147">
        <f t="shared" si="19"/>
        <v>21420</v>
      </c>
      <c r="F193" s="185">
        <f>1500*12</f>
        <v>18000</v>
      </c>
      <c r="G193" s="148">
        <v>1</v>
      </c>
      <c r="H193" s="149">
        <f t="shared" si="20"/>
        <v>21420</v>
      </c>
    </row>
    <row r="194" spans="1:8" ht="33.75" x14ac:dyDescent="0.2">
      <c r="A194" s="145">
        <v>10978</v>
      </c>
      <c r="B194" s="138" t="s">
        <v>645</v>
      </c>
      <c r="C194" s="138" t="s">
        <v>306</v>
      </c>
      <c r="D194" s="138" t="s">
        <v>452</v>
      </c>
      <c r="E194" s="147">
        <f t="shared" si="19"/>
        <v>17850</v>
      </c>
      <c r="F194" s="185">
        <v>15000</v>
      </c>
      <c r="G194" s="148">
        <v>1</v>
      </c>
      <c r="H194" s="149">
        <f t="shared" si="20"/>
        <v>17850</v>
      </c>
    </row>
    <row r="195" spans="1:8" ht="33.75" x14ac:dyDescent="0.2">
      <c r="A195" s="145">
        <v>10978</v>
      </c>
      <c r="B195" s="138" t="s">
        <v>645</v>
      </c>
      <c r="C195" s="138" t="s">
        <v>103</v>
      </c>
      <c r="D195" s="138" t="s">
        <v>452</v>
      </c>
      <c r="E195" s="147">
        <f t="shared" si="19"/>
        <v>1785</v>
      </c>
      <c r="F195" s="185">
        <v>1500</v>
      </c>
      <c r="G195" s="148">
        <v>1</v>
      </c>
      <c r="H195" s="149">
        <f t="shared" si="20"/>
        <v>1785</v>
      </c>
    </row>
    <row r="196" spans="1:8" ht="33.75" x14ac:dyDescent="0.2">
      <c r="A196" s="145">
        <v>10978</v>
      </c>
      <c r="B196" s="138" t="s">
        <v>645</v>
      </c>
      <c r="C196" s="138" t="s">
        <v>105</v>
      </c>
      <c r="D196" s="138" t="s">
        <v>452</v>
      </c>
      <c r="E196" s="147">
        <f t="shared" si="19"/>
        <v>32844</v>
      </c>
      <c r="F196" s="185">
        <f>27600</f>
        <v>27600</v>
      </c>
      <c r="G196" s="148">
        <v>1</v>
      </c>
      <c r="H196" s="149">
        <f t="shared" si="20"/>
        <v>32844</v>
      </c>
    </row>
    <row r="197" spans="1:8" ht="33.75" x14ac:dyDescent="0.2">
      <c r="A197" s="145">
        <v>10978</v>
      </c>
      <c r="B197" s="138" t="s">
        <v>645</v>
      </c>
      <c r="C197" s="138" t="s">
        <v>106</v>
      </c>
      <c r="D197" s="138" t="s">
        <v>452</v>
      </c>
      <c r="E197" s="147">
        <f t="shared" si="19"/>
        <v>6426</v>
      </c>
      <c r="F197" s="185">
        <f>5400</f>
        <v>5400</v>
      </c>
      <c r="G197" s="148">
        <v>1</v>
      </c>
      <c r="H197" s="149">
        <f t="shared" si="20"/>
        <v>6426</v>
      </c>
    </row>
    <row r="198" spans="1:8" ht="33.75" x14ac:dyDescent="0.2">
      <c r="A198" s="145">
        <v>10978</v>
      </c>
      <c r="B198" s="138" t="s">
        <v>645</v>
      </c>
      <c r="C198" s="138" t="s">
        <v>419</v>
      </c>
      <c r="D198" s="138" t="s">
        <v>452</v>
      </c>
      <c r="E198" s="147">
        <f t="shared" si="19"/>
        <v>17850</v>
      </c>
      <c r="F198" s="185">
        <v>15000</v>
      </c>
      <c r="G198" s="148">
        <v>1</v>
      </c>
      <c r="H198" s="149">
        <f t="shared" si="20"/>
        <v>17850</v>
      </c>
    </row>
    <row r="199" spans="1:8" ht="33.75" x14ac:dyDescent="0.2">
      <c r="A199" s="145">
        <v>10978</v>
      </c>
      <c r="B199" s="138" t="s">
        <v>645</v>
      </c>
      <c r="C199" s="138" t="s">
        <v>414</v>
      </c>
      <c r="D199" s="138" t="s">
        <v>452</v>
      </c>
      <c r="E199" s="147">
        <f t="shared" si="19"/>
        <v>29750</v>
      </c>
      <c r="F199" s="185">
        <f>25000</f>
        <v>25000</v>
      </c>
      <c r="G199" s="148">
        <v>1</v>
      </c>
      <c r="H199" s="149">
        <f t="shared" si="20"/>
        <v>29750</v>
      </c>
    </row>
    <row r="200" spans="1:8" ht="33.75" x14ac:dyDescent="0.2">
      <c r="A200" s="145">
        <v>10978</v>
      </c>
      <c r="B200" s="138" t="s">
        <v>645</v>
      </c>
      <c r="C200" s="138" t="s">
        <v>849</v>
      </c>
      <c r="D200" s="138" t="s">
        <v>643</v>
      </c>
      <c r="E200" s="147">
        <f t="shared" si="19"/>
        <v>42840</v>
      </c>
      <c r="F200" s="185">
        <f>36000</f>
        <v>36000</v>
      </c>
      <c r="G200" s="148">
        <v>1</v>
      </c>
      <c r="H200" s="149">
        <f t="shared" si="20"/>
        <v>42840</v>
      </c>
    </row>
    <row r="201" spans="1:8" ht="33.75" x14ac:dyDescent="0.2">
      <c r="A201" s="145">
        <v>10978</v>
      </c>
      <c r="B201" s="138" t="s">
        <v>645</v>
      </c>
      <c r="C201" s="151" t="s">
        <v>149</v>
      </c>
      <c r="D201" s="138" t="s">
        <v>643</v>
      </c>
      <c r="E201" s="147">
        <f t="shared" si="19"/>
        <v>2135482.4413999999</v>
      </c>
      <c r="F201" s="147">
        <f>1794523.06</f>
        <v>1794523.06</v>
      </c>
      <c r="G201" s="148">
        <v>1</v>
      </c>
      <c r="H201" s="149">
        <f>G201*F201*1.19</f>
        <v>2135482.4413999999</v>
      </c>
    </row>
    <row r="202" spans="1:8" ht="33.75" x14ac:dyDescent="0.2">
      <c r="A202" s="145">
        <v>10978</v>
      </c>
      <c r="B202" s="138" t="s">
        <v>645</v>
      </c>
      <c r="C202" s="150" t="s">
        <v>426</v>
      </c>
      <c r="D202" s="138" t="s">
        <v>643</v>
      </c>
      <c r="E202" s="147">
        <v>2300</v>
      </c>
      <c r="F202" s="147">
        <f>252000</f>
        <v>252000</v>
      </c>
      <c r="G202" s="148">
        <v>1</v>
      </c>
      <c r="H202" s="149">
        <f t="shared" ref="H202:H206" si="21">G202*F202*1.19</f>
        <v>299880</v>
      </c>
    </row>
    <row r="203" spans="1:8" ht="33.75" x14ac:dyDescent="0.2">
      <c r="A203" s="145">
        <v>10978</v>
      </c>
      <c r="B203" s="138" t="s">
        <v>645</v>
      </c>
      <c r="C203" s="150" t="s">
        <v>155</v>
      </c>
      <c r="D203" s="138" t="s">
        <v>643</v>
      </c>
      <c r="E203" s="147">
        <v>450</v>
      </c>
      <c r="F203" s="147">
        <f>1320000</f>
        <v>1320000</v>
      </c>
      <c r="G203" s="148">
        <v>1</v>
      </c>
      <c r="H203" s="149">
        <f t="shared" si="21"/>
        <v>1570800</v>
      </c>
    </row>
    <row r="204" spans="1:8" ht="33.75" x14ac:dyDescent="0.2">
      <c r="A204" s="145">
        <v>10978</v>
      </c>
      <c r="B204" s="138" t="s">
        <v>645</v>
      </c>
      <c r="C204" s="150" t="s">
        <v>157</v>
      </c>
      <c r="D204" s="138" t="s">
        <v>643</v>
      </c>
      <c r="E204" s="147">
        <v>15000</v>
      </c>
      <c r="F204" s="147">
        <f>1935600</f>
        <v>1935600</v>
      </c>
      <c r="G204" s="148">
        <v>1</v>
      </c>
      <c r="H204" s="149">
        <f t="shared" si="21"/>
        <v>2303364</v>
      </c>
    </row>
    <row r="205" spans="1:8" ht="33.75" x14ac:dyDescent="0.2">
      <c r="A205" s="145">
        <v>10978</v>
      </c>
      <c r="B205" s="138" t="s">
        <v>645</v>
      </c>
      <c r="C205" s="150" t="s">
        <v>163</v>
      </c>
      <c r="D205" s="138" t="s">
        <v>643</v>
      </c>
      <c r="E205" s="147">
        <f t="shared" si="19"/>
        <v>243950</v>
      </c>
      <c r="F205" s="147">
        <f>205000</f>
        <v>205000</v>
      </c>
      <c r="G205" s="148">
        <v>1</v>
      </c>
      <c r="H205" s="149">
        <f t="shared" si="21"/>
        <v>243950</v>
      </c>
    </row>
    <row r="206" spans="1:8" ht="33.75" x14ac:dyDescent="0.2">
      <c r="A206" s="145">
        <v>10978</v>
      </c>
      <c r="B206" s="138" t="s">
        <v>645</v>
      </c>
      <c r="C206" s="138" t="s">
        <v>104</v>
      </c>
      <c r="D206" s="138" t="s">
        <v>643</v>
      </c>
      <c r="E206" s="147">
        <v>3000</v>
      </c>
      <c r="F206" s="147">
        <f>279900</f>
        <v>279900</v>
      </c>
      <c r="G206" s="148">
        <v>1</v>
      </c>
      <c r="H206" s="149">
        <f t="shared" si="21"/>
        <v>333081</v>
      </c>
    </row>
    <row r="207" spans="1:8" x14ac:dyDescent="0.2">
      <c r="A207" s="233" t="s">
        <v>646</v>
      </c>
      <c r="B207" s="234"/>
      <c r="C207" s="234"/>
      <c r="D207" s="234"/>
      <c r="E207" s="234"/>
      <c r="F207" s="234"/>
      <c r="G207" s="235"/>
      <c r="H207" s="140">
        <f>SUM(H189:H206)</f>
        <v>7280000.0013999995</v>
      </c>
    </row>
    <row r="208" spans="1:8" ht="45" x14ac:dyDescent="0.2">
      <c r="A208" s="138" t="s">
        <v>647</v>
      </c>
      <c r="B208" s="138" t="s">
        <v>648</v>
      </c>
      <c r="C208" s="138" t="s">
        <v>409</v>
      </c>
      <c r="D208" s="138" t="s">
        <v>452</v>
      </c>
      <c r="E208" s="139">
        <f t="shared" ref="E208" si="22">H208/G208</f>
        <v>549999.99529999995</v>
      </c>
      <c r="F208" s="139">
        <v>462184.87</v>
      </c>
      <c r="G208" s="138">
        <v>1</v>
      </c>
      <c r="H208" s="139">
        <f>G208*F208*1.19</f>
        <v>549999.99529999995</v>
      </c>
    </row>
    <row r="209" spans="1:8" x14ac:dyDescent="0.2">
      <c r="A209" s="233" t="s">
        <v>655</v>
      </c>
      <c r="B209" s="234"/>
      <c r="C209" s="234"/>
      <c r="D209" s="234"/>
      <c r="E209" s="234"/>
      <c r="F209" s="234"/>
      <c r="G209" s="235"/>
      <c r="H209" s="140">
        <f>SUM(H208:H208)</f>
        <v>549999.99529999995</v>
      </c>
    </row>
    <row r="210" spans="1:8" x14ac:dyDescent="0.2">
      <c r="A210" s="145">
        <v>36970</v>
      </c>
      <c r="B210" s="138" t="s">
        <v>656</v>
      </c>
      <c r="C210" s="138" t="s">
        <v>163</v>
      </c>
      <c r="D210" s="138" t="s">
        <v>452</v>
      </c>
      <c r="E210" s="139">
        <f t="shared" ref="E210" si="23">H210/G210</f>
        <v>154166.66666666666</v>
      </c>
      <c r="F210" s="139">
        <f>1850000/12</f>
        <v>154166.66666666666</v>
      </c>
      <c r="G210" s="138">
        <v>12</v>
      </c>
      <c r="H210" s="139">
        <f>G210*F210</f>
        <v>1850000</v>
      </c>
    </row>
    <row r="211" spans="1:8" x14ac:dyDescent="0.2">
      <c r="A211" s="233" t="s">
        <v>657</v>
      </c>
      <c r="B211" s="234"/>
      <c r="C211" s="234"/>
      <c r="D211" s="234"/>
      <c r="E211" s="234"/>
      <c r="F211" s="234"/>
      <c r="G211" s="235"/>
      <c r="H211" s="140">
        <f>H210</f>
        <v>1850000</v>
      </c>
    </row>
    <row r="212" spans="1:8" x14ac:dyDescent="0.2">
      <c r="A212" s="138" t="s">
        <v>658</v>
      </c>
      <c r="B212" s="138" t="s">
        <v>659</v>
      </c>
      <c r="C212" s="138" t="s">
        <v>497</v>
      </c>
      <c r="D212" s="138" t="s">
        <v>643</v>
      </c>
      <c r="E212" s="139">
        <f>H212/G212</f>
        <v>545000</v>
      </c>
      <c r="F212" s="186">
        <v>500000</v>
      </c>
      <c r="G212" s="152">
        <v>1</v>
      </c>
      <c r="H212" s="153">
        <f>G212*F212*1.09</f>
        <v>545000</v>
      </c>
    </row>
    <row r="213" spans="1:8" x14ac:dyDescent="0.2">
      <c r="A213" s="138" t="s">
        <v>658</v>
      </c>
      <c r="B213" s="138" t="s">
        <v>659</v>
      </c>
      <c r="C213" s="138" t="s">
        <v>498</v>
      </c>
      <c r="D213" s="138" t="s">
        <v>643</v>
      </c>
      <c r="E213" s="139">
        <f t="shared" ref="E213:E274" si="24">H213/G213</f>
        <v>545000</v>
      </c>
      <c r="F213" s="186">
        <v>500000</v>
      </c>
      <c r="G213" s="152">
        <v>1</v>
      </c>
      <c r="H213" s="153">
        <f t="shared" ref="H213:H274" si="25">G213*F213*1.09</f>
        <v>545000</v>
      </c>
    </row>
    <row r="214" spans="1:8" x14ac:dyDescent="0.2">
      <c r="A214" s="138" t="s">
        <v>658</v>
      </c>
      <c r="B214" s="138" t="s">
        <v>659</v>
      </c>
      <c r="C214" s="138" t="s">
        <v>420</v>
      </c>
      <c r="D214" s="138" t="s">
        <v>643</v>
      </c>
      <c r="E214" s="139">
        <f t="shared" si="24"/>
        <v>981000.00000000012</v>
      </c>
      <c r="F214" s="186">
        <v>900000</v>
      </c>
      <c r="G214" s="152">
        <v>1</v>
      </c>
      <c r="H214" s="153">
        <f t="shared" si="25"/>
        <v>981000.00000000012</v>
      </c>
    </row>
    <row r="215" spans="1:8" x14ac:dyDescent="0.2">
      <c r="A215" s="138" t="s">
        <v>658</v>
      </c>
      <c r="B215" s="138" t="s">
        <v>659</v>
      </c>
      <c r="C215" s="138" t="s">
        <v>423</v>
      </c>
      <c r="D215" s="138" t="s">
        <v>643</v>
      </c>
      <c r="E215" s="139">
        <f t="shared" si="24"/>
        <v>654000</v>
      </c>
      <c r="F215" s="186">
        <v>600000</v>
      </c>
      <c r="G215" s="152">
        <v>1</v>
      </c>
      <c r="H215" s="153">
        <f t="shared" si="25"/>
        <v>654000</v>
      </c>
    </row>
    <row r="216" spans="1:8" x14ac:dyDescent="0.2">
      <c r="A216" s="138" t="s">
        <v>658</v>
      </c>
      <c r="B216" s="138" t="s">
        <v>659</v>
      </c>
      <c r="C216" s="138" t="s">
        <v>427</v>
      </c>
      <c r="D216" s="138" t="s">
        <v>643</v>
      </c>
      <c r="E216" s="139">
        <f t="shared" si="24"/>
        <v>545000</v>
      </c>
      <c r="F216" s="186">
        <v>500000</v>
      </c>
      <c r="G216" s="152">
        <v>1</v>
      </c>
      <c r="H216" s="153">
        <f t="shared" si="25"/>
        <v>545000</v>
      </c>
    </row>
    <row r="217" spans="1:8" x14ac:dyDescent="0.2">
      <c r="A217" s="138" t="s">
        <v>658</v>
      </c>
      <c r="B217" s="138" t="s">
        <v>659</v>
      </c>
      <c r="C217" s="138" t="s">
        <v>428</v>
      </c>
      <c r="D217" s="138" t="s">
        <v>643</v>
      </c>
      <c r="E217" s="139">
        <f t="shared" si="24"/>
        <v>545000</v>
      </c>
      <c r="F217" s="186">
        <v>500000</v>
      </c>
      <c r="G217" s="152">
        <v>1</v>
      </c>
      <c r="H217" s="153">
        <f t="shared" si="25"/>
        <v>545000</v>
      </c>
    </row>
    <row r="218" spans="1:8" x14ac:dyDescent="0.2">
      <c r="A218" s="138" t="s">
        <v>658</v>
      </c>
      <c r="B218" s="138" t="s">
        <v>659</v>
      </c>
      <c r="C218" s="138" t="s">
        <v>850</v>
      </c>
      <c r="D218" s="138" t="s">
        <v>643</v>
      </c>
      <c r="E218" s="139">
        <f t="shared" si="24"/>
        <v>1885896.3853</v>
      </c>
      <c r="F218" s="186">
        <v>1730180.17</v>
      </c>
      <c r="G218" s="152">
        <v>1</v>
      </c>
      <c r="H218" s="153">
        <f t="shared" si="25"/>
        <v>1885896.3853</v>
      </c>
    </row>
    <row r="219" spans="1:8" x14ac:dyDescent="0.2">
      <c r="A219" s="138" t="s">
        <v>658</v>
      </c>
      <c r="B219" s="138" t="s">
        <v>659</v>
      </c>
      <c r="C219" s="138" t="s">
        <v>945</v>
      </c>
      <c r="D219" s="138" t="s">
        <v>643</v>
      </c>
      <c r="E219" s="139">
        <f t="shared" si="24"/>
        <v>3379000.0000000005</v>
      </c>
      <c r="F219" s="186">
        <f>6200000/2</f>
        <v>3100000</v>
      </c>
      <c r="G219" s="152">
        <v>1</v>
      </c>
      <c r="H219" s="153">
        <f t="shared" si="25"/>
        <v>3379000.0000000005</v>
      </c>
    </row>
    <row r="220" spans="1:8" x14ac:dyDescent="0.2">
      <c r="A220" s="138" t="s">
        <v>658</v>
      </c>
      <c r="B220" s="138" t="s">
        <v>659</v>
      </c>
      <c r="C220" s="138" t="s">
        <v>942</v>
      </c>
      <c r="D220" s="138" t="s">
        <v>643</v>
      </c>
      <c r="E220" s="139">
        <f t="shared" si="24"/>
        <v>981000.00000000012</v>
      </c>
      <c r="F220" s="186">
        <v>900000</v>
      </c>
      <c r="G220" s="152">
        <v>1</v>
      </c>
      <c r="H220" s="153">
        <f t="shared" si="25"/>
        <v>981000.00000000012</v>
      </c>
    </row>
    <row r="221" spans="1:8" x14ac:dyDescent="0.2">
      <c r="A221" s="138" t="s">
        <v>658</v>
      </c>
      <c r="B221" s="138" t="s">
        <v>659</v>
      </c>
      <c r="C221" s="150" t="s">
        <v>874</v>
      </c>
      <c r="D221" s="138"/>
      <c r="E221" s="139">
        <f t="shared" si="24"/>
        <v>2052.6880000000001</v>
      </c>
      <c r="F221" s="187">
        <v>1883.2</v>
      </c>
      <c r="G221" s="152">
        <v>1</v>
      </c>
      <c r="H221" s="153">
        <f t="shared" si="25"/>
        <v>2052.6880000000001</v>
      </c>
    </row>
    <row r="222" spans="1:8" x14ac:dyDescent="0.2">
      <c r="A222" s="138" t="s">
        <v>658</v>
      </c>
      <c r="B222" s="138" t="s">
        <v>659</v>
      </c>
      <c r="C222" s="150" t="s">
        <v>875</v>
      </c>
      <c r="D222" s="138"/>
      <c r="E222" s="139">
        <f t="shared" si="24"/>
        <v>6670.8</v>
      </c>
      <c r="F222" s="187">
        <v>6120</v>
      </c>
      <c r="G222" s="152">
        <v>1</v>
      </c>
      <c r="H222" s="153">
        <f t="shared" si="25"/>
        <v>6670.8</v>
      </c>
    </row>
    <row r="223" spans="1:8" x14ac:dyDescent="0.2">
      <c r="A223" s="138" t="s">
        <v>658</v>
      </c>
      <c r="B223" s="138" t="s">
        <v>659</v>
      </c>
      <c r="C223" s="150" t="s">
        <v>876</v>
      </c>
      <c r="D223" s="138"/>
      <c r="E223" s="139">
        <f t="shared" si="24"/>
        <v>4944.2400000000007</v>
      </c>
      <c r="F223" s="187">
        <v>4536</v>
      </c>
      <c r="G223" s="152">
        <v>1</v>
      </c>
      <c r="H223" s="153">
        <f t="shared" si="25"/>
        <v>4944.2400000000007</v>
      </c>
    </row>
    <row r="224" spans="1:8" x14ac:dyDescent="0.2">
      <c r="A224" s="138" t="s">
        <v>658</v>
      </c>
      <c r="B224" s="138" t="s">
        <v>659</v>
      </c>
      <c r="C224" s="150" t="s">
        <v>877</v>
      </c>
      <c r="D224" s="138"/>
      <c r="E224" s="139">
        <f t="shared" si="24"/>
        <v>112.7496</v>
      </c>
      <c r="F224" s="187">
        <v>103.44</v>
      </c>
      <c r="G224" s="152">
        <v>1</v>
      </c>
      <c r="H224" s="153">
        <f t="shared" si="25"/>
        <v>112.7496</v>
      </c>
    </row>
    <row r="225" spans="1:8" x14ac:dyDescent="0.2">
      <c r="A225" s="138" t="s">
        <v>658</v>
      </c>
      <c r="B225" s="138" t="s">
        <v>659</v>
      </c>
      <c r="C225" s="150" t="s">
        <v>878</v>
      </c>
      <c r="D225" s="138"/>
      <c r="E225" s="139">
        <f t="shared" si="24"/>
        <v>4033.0000000000005</v>
      </c>
      <c r="F225" s="187">
        <v>3700</v>
      </c>
      <c r="G225" s="152">
        <v>1</v>
      </c>
      <c r="H225" s="153">
        <f t="shared" si="25"/>
        <v>4033.0000000000005</v>
      </c>
    </row>
    <row r="226" spans="1:8" x14ac:dyDescent="0.2">
      <c r="A226" s="138" t="s">
        <v>658</v>
      </c>
      <c r="B226" s="138" t="s">
        <v>659</v>
      </c>
      <c r="C226" s="150" t="s">
        <v>879</v>
      </c>
      <c r="D226" s="138"/>
      <c r="E226" s="139">
        <f t="shared" si="24"/>
        <v>21174.34</v>
      </c>
      <c r="F226" s="187">
        <v>19426</v>
      </c>
      <c r="G226" s="152">
        <v>1</v>
      </c>
      <c r="H226" s="153">
        <f t="shared" si="25"/>
        <v>21174.34</v>
      </c>
    </row>
    <row r="227" spans="1:8" x14ac:dyDescent="0.2">
      <c r="A227" s="138" t="s">
        <v>658</v>
      </c>
      <c r="B227" s="138" t="s">
        <v>659</v>
      </c>
      <c r="C227" s="150" t="s">
        <v>481</v>
      </c>
      <c r="D227" s="138"/>
      <c r="E227" s="139">
        <f t="shared" si="24"/>
        <v>163.173</v>
      </c>
      <c r="F227" s="187">
        <v>149.69999999999999</v>
      </c>
      <c r="G227" s="152">
        <v>1</v>
      </c>
      <c r="H227" s="153">
        <f t="shared" si="25"/>
        <v>163.173</v>
      </c>
    </row>
    <row r="228" spans="1:8" x14ac:dyDescent="0.2">
      <c r="A228" s="138" t="s">
        <v>658</v>
      </c>
      <c r="B228" s="138" t="s">
        <v>659</v>
      </c>
      <c r="C228" s="150" t="s">
        <v>880</v>
      </c>
      <c r="D228" s="138"/>
      <c r="E228" s="139">
        <f t="shared" si="24"/>
        <v>524.18100000000004</v>
      </c>
      <c r="F228" s="187">
        <v>480.9</v>
      </c>
      <c r="G228" s="152">
        <v>1</v>
      </c>
      <c r="H228" s="153">
        <f t="shared" si="25"/>
        <v>524.18100000000004</v>
      </c>
    </row>
    <row r="229" spans="1:8" x14ac:dyDescent="0.2">
      <c r="A229" s="138" t="s">
        <v>658</v>
      </c>
      <c r="B229" s="138" t="s">
        <v>659</v>
      </c>
      <c r="C229" s="150" t="s">
        <v>881</v>
      </c>
      <c r="D229" s="138"/>
      <c r="E229" s="139">
        <f t="shared" si="24"/>
        <v>494.03160000000003</v>
      </c>
      <c r="F229" s="187">
        <v>453.24</v>
      </c>
      <c r="G229" s="152">
        <v>1</v>
      </c>
      <c r="H229" s="153">
        <f t="shared" si="25"/>
        <v>494.03160000000003</v>
      </c>
    </row>
    <row r="230" spans="1:8" x14ac:dyDescent="0.2">
      <c r="A230" s="138" t="s">
        <v>658</v>
      </c>
      <c r="B230" s="138" t="s">
        <v>659</v>
      </c>
      <c r="C230" s="150" t="s">
        <v>882</v>
      </c>
      <c r="D230" s="138"/>
      <c r="E230" s="139">
        <f t="shared" si="24"/>
        <v>2068.8200000000002</v>
      </c>
      <c r="F230" s="187">
        <v>1898</v>
      </c>
      <c r="G230" s="152">
        <v>1</v>
      </c>
      <c r="H230" s="153">
        <f t="shared" si="25"/>
        <v>2068.8200000000002</v>
      </c>
    </row>
    <row r="231" spans="1:8" x14ac:dyDescent="0.2">
      <c r="A231" s="138" t="s">
        <v>658</v>
      </c>
      <c r="B231" s="138" t="s">
        <v>659</v>
      </c>
      <c r="C231" s="150" t="s">
        <v>883</v>
      </c>
      <c r="D231" s="138"/>
      <c r="E231" s="139">
        <f t="shared" si="24"/>
        <v>600.80800000000011</v>
      </c>
      <c r="F231" s="187">
        <v>551.20000000000005</v>
      </c>
      <c r="G231" s="152">
        <v>1</v>
      </c>
      <c r="H231" s="153">
        <f t="shared" si="25"/>
        <v>600.80800000000011</v>
      </c>
    </row>
    <row r="232" spans="1:8" x14ac:dyDescent="0.2">
      <c r="A232" s="138" t="s">
        <v>658</v>
      </c>
      <c r="B232" s="138" t="s">
        <v>659</v>
      </c>
      <c r="C232" s="150" t="s">
        <v>884</v>
      </c>
      <c r="D232" s="138"/>
      <c r="E232" s="139">
        <f t="shared" si="24"/>
        <v>6052.77</v>
      </c>
      <c r="F232" s="187">
        <v>5553</v>
      </c>
      <c r="G232" s="152">
        <v>1</v>
      </c>
      <c r="H232" s="153">
        <f t="shared" si="25"/>
        <v>6052.77</v>
      </c>
    </row>
    <row r="233" spans="1:8" x14ac:dyDescent="0.2">
      <c r="A233" s="138" t="s">
        <v>658</v>
      </c>
      <c r="B233" s="138" t="s">
        <v>659</v>
      </c>
      <c r="C233" s="150" t="s">
        <v>885</v>
      </c>
      <c r="D233" s="138"/>
      <c r="E233" s="139">
        <f t="shared" si="24"/>
        <v>91.451000000000008</v>
      </c>
      <c r="F233" s="187">
        <v>83.9</v>
      </c>
      <c r="G233" s="152">
        <v>1</v>
      </c>
      <c r="H233" s="153">
        <f t="shared" si="25"/>
        <v>91.451000000000008</v>
      </c>
    </row>
    <row r="234" spans="1:8" x14ac:dyDescent="0.2">
      <c r="A234" s="138" t="s">
        <v>658</v>
      </c>
      <c r="B234" s="138" t="s">
        <v>659</v>
      </c>
      <c r="C234" s="150" t="s">
        <v>886</v>
      </c>
      <c r="D234" s="138"/>
      <c r="E234" s="139">
        <f t="shared" si="24"/>
        <v>2.1800000000000002</v>
      </c>
      <c r="F234" s="187">
        <v>2</v>
      </c>
      <c r="G234" s="152">
        <v>1</v>
      </c>
      <c r="H234" s="153">
        <f t="shared" si="25"/>
        <v>2.1800000000000002</v>
      </c>
    </row>
    <row r="235" spans="1:8" x14ac:dyDescent="0.2">
      <c r="A235" s="138" t="s">
        <v>658</v>
      </c>
      <c r="B235" s="138" t="s">
        <v>659</v>
      </c>
      <c r="C235" s="150" t="s">
        <v>887</v>
      </c>
      <c r="D235" s="138"/>
      <c r="E235" s="139">
        <f t="shared" si="24"/>
        <v>368.97590000000002</v>
      </c>
      <c r="F235" s="187">
        <v>338.51</v>
      </c>
      <c r="G235" s="152">
        <v>1</v>
      </c>
      <c r="H235" s="153">
        <f t="shared" si="25"/>
        <v>368.97590000000002</v>
      </c>
    </row>
    <row r="236" spans="1:8" x14ac:dyDescent="0.2">
      <c r="A236" s="138" t="s">
        <v>658</v>
      </c>
      <c r="B236" s="138" t="s">
        <v>659</v>
      </c>
      <c r="C236" s="150" t="s">
        <v>482</v>
      </c>
      <c r="D236" s="138"/>
      <c r="E236" s="139">
        <f t="shared" si="24"/>
        <v>720.83880000000011</v>
      </c>
      <c r="F236" s="187">
        <v>661.32</v>
      </c>
      <c r="G236" s="152">
        <v>1</v>
      </c>
      <c r="H236" s="153">
        <f t="shared" si="25"/>
        <v>720.83880000000011</v>
      </c>
    </row>
    <row r="237" spans="1:8" x14ac:dyDescent="0.2">
      <c r="A237" s="138" t="s">
        <v>658</v>
      </c>
      <c r="B237" s="138" t="s">
        <v>659</v>
      </c>
      <c r="C237" s="150" t="s">
        <v>888</v>
      </c>
      <c r="D237" s="138"/>
      <c r="E237" s="139">
        <f t="shared" si="24"/>
        <v>2725</v>
      </c>
      <c r="F237" s="187">
        <v>2500</v>
      </c>
      <c r="G237" s="152">
        <v>1</v>
      </c>
      <c r="H237" s="153">
        <f t="shared" si="25"/>
        <v>2725</v>
      </c>
    </row>
    <row r="238" spans="1:8" x14ac:dyDescent="0.2">
      <c r="A238" s="138" t="s">
        <v>658</v>
      </c>
      <c r="B238" s="138" t="s">
        <v>659</v>
      </c>
      <c r="C238" s="150" t="s">
        <v>889</v>
      </c>
      <c r="D238" s="138"/>
      <c r="E238" s="139">
        <f t="shared" si="24"/>
        <v>61828.506000000008</v>
      </c>
      <c r="F238" s="187">
        <v>56723.4</v>
      </c>
      <c r="G238" s="152">
        <v>1</v>
      </c>
      <c r="H238" s="153">
        <f t="shared" si="25"/>
        <v>61828.506000000008</v>
      </c>
    </row>
    <row r="239" spans="1:8" x14ac:dyDescent="0.2">
      <c r="A239" s="138" t="s">
        <v>658</v>
      </c>
      <c r="B239" s="138" t="s">
        <v>659</v>
      </c>
      <c r="C239" s="150" t="s">
        <v>890</v>
      </c>
      <c r="D239" s="138"/>
      <c r="E239" s="139">
        <f t="shared" si="24"/>
        <v>7580.9500000000007</v>
      </c>
      <c r="F239" s="187">
        <v>6955</v>
      </c>
      <c r="G239" s="152">
        <v>1</v>
      </c>
      <c r="H239" s="153">
        <f t="shared" si="25"/>
        <v>7580.9500000000007</v>
      </c>
    </row>
    <row r="240" spans="1:8" x14ac:dyDescent="0.2">
      <c r="A240" s="138" t="s">
        <v>658</v>
      </c>
      <c r="B240" s="138" t="s">
        <v>659</v>
      </c>
      <c r="C240" s="150" t="s">
        <v>891</v>
      </c>
      <c r="D240" s="138"/>
      <c r="E240" s="139">
        <f t="shared" si="24"/>
        <v>229.22700000000003</v>
      </c>
      <c r="F240" s="187">
        <v>210.3</v>
      </c>
      <c r="G240" s="152">
        <v>1</v>
      </c>
      <c r="H240" s="153">
        <f t="shared" si="25"/>
        <v>229.22700000000003</v>
      </c>
    </row>
    <row r="241" spans="1:8" x14ac:dyDescent="0.2">
      <c r="A241" s="138" t="s">
        <v>658</v>
      </c>
      <c r="B241" s="138" t="s">
        <v>659</v>
      </c>
      <c r="C241" s="150" t="s">
        <v>892</v>
      </c>
      <c r="D241" s="138"/>
      <c r="E241" s="139">
        <f t="shared" si="24"/>
        <v>2816.5600000000004</v>
      </c>
      <c r="F241" s="187">
        <v>2584</v>
      </c>
      <c r="G241" s="152">
        <v>1</v>
      </c>
      <c r="H241" s="153">
        <f t="shared" si="25"/>
        <v>2816.5600000000004</v>
      </c>
    </row>
    <row r="242" spans="1:8" x14ac:dyDescent="0.2">
      <c r="A242" s="138" t="s">
        <v>658</v>
      </c>
      <c r="B242" s="138" t="s">
        <v>659</v>
      </c>
      <c r="C242" s="150" t="s">
        <v>893</v>
      </c>
      <c r="D242" s="138"/>
      <c r="E242" s="139">
        <f t="shared" si="24"/>
        <v>553.72</v>
      </c>
      <c r="F242" s="187">
        <v>508</v>
      </c>
      <c r="G242" s="152">
        <v>1</v>
      </c>
      <c r="H242" s="153">
        <f t="shared" si="25"/>
        <v>553.72</v>
      </c>
    </row>
    <row r="243" spans="1:8" x14ac:dyDescent="0.2">
      <c r="A243" s="138" t="s">
        <v>658</v>
      </c>
      <c r="B243" s="138" t="s">
        <v>659</v>
      </c>
      <c r="C243" s="150" t="s">
        <v>483</v>
      </c>
      <c r="D243" s="138"/>
      <c r="E243" s="139">
        <f t="shared" si="24"/>
        <v>721.58</v>
      </c>
      <c r="F243" s="187">
        <v>662</v>
      </c>
      <c r="G243" s="152">
        <v>1</v>
      </c>
      <c r="H243" s="153">
        <f t="shared" si="25"/>
        <v>721.58</v>
      </c>
    </row>
    <row r="244" spans="1:8" x14ac:dyDescent="0.2">
      <c r="A244" s="138" t="s">
        <v>658</v>
      </c>
      <c r="B244" s="138" t="s">
        <v>659</v>
      </c>
      <c r="C244" s="150" t="s">
        <v>894</v>
      </c>
      <c r="D244" s="138"/>
      <c r="E244" s="139">
        <f t="shared" si="24"/>
        <v>6177.0300000000007</v>
      </c>
      <c r="F244" s="187">
        <v>5667</v>
      </c>
      <c r="G244" s="152">
        <v>1</v>
      </c>
      <c r="H244" s="153">
        <f t="shared" si="25"/>
        <v>6177.0300000000007</v>
      </c>
    </row>
    <row r="245" spans="1:8" x14ac:dyDescent="0.2">
      <c r="A245" s="138" t="s">
        <v>658</v>
      </c>
      <c r="B245" s="138" t="s">
        <v>659</v>
      </c>
      <c r="C245" s="150" t="s">
        <v>484</v>
      </c>
      <c r="D245" s="138"/>
      <c r="E245" s="139">
        <f t="shared" si="24"/>
        <v>1.4170000000000003</v>
      </c>
      <c r="F245" s="187">
        <v>1.3</v>
      </c>
      <c r="G245" s="152">
        <v>1</v>
      </c>
      <c r="H245" s="153">
        <f t="shared" si="25"/>
        <v>1.4170000000000003</v>
      </c>
    </row>
    <row r="246" spans="1:8" x14ac:dyDescent="0.2">
      <c r="A246" s="138" t="s">
        <v>658</v>
      </c>
      <c r="B246" s="138" t="s">
        <v>659</v>
      </c>
      <c r="C246" s="150" t="s">
        <v>895</v>
      </c>
      <c r="D246" s="138"/>
      <c r="E246" s="139">
        <f t="shared" si="24"/>
        <v>277.51400000000001</v>
      </c>
      <c r="F246" s="187">
        <v>254.6</v>
      </c>
      <c r="G246" s="152">
        <v>1</v>
      </c>
      <c r="H246" s="153">
        <f t="shared" si="25"/>
        <v>277.51400000000001</v>
      </c>
    </row>
    <row r="247" spans="1:8" x14ac:dyDescent="0.2">
      <c r="A247" s="138" t="s">
        <v>658</v>
      </c>
      <c r="B247" s="138" t="s">
        <v>659</v>
      </c>
      <c r="C247" s="150" t="s">
        <v>485</v>
      </c>
      <c r="D247" s="138"/>
      <c r="E247" s="139">
        <f t="shared" si="24"/>
        <v>9.81</v>
      </c>
      <c r="F247" s="187">
        <v>9</v>
      </c>
      <c r="G247" s="152">
        <v>1</v>
      </c>
      <c r="H247" s="153">
        <f t="shared" si="25"/>
        <v>9.81</v>
      </c>
    </row>
    <row r="248" spans="1:8" x14ac:dyDescent="0.2">
      <c r="A248" s="138" t="s">
        <v>658</v>
      </c>
      <c r="B248" s="138" t="s">
        <v>659</v>
      </c>
      <c r="C248" s="150" t="s">
        <v>896</v>
      </c>
      <c r="D248" s="138"/>
      <c r="E248" s="139">
        <f t="shared" si="24"/>
        <v>1438.8000000000002</v>
      </c>
      <c r="F248" s="187">
        <v>1320</v>
      </c>
      <c r="G248" s="152">
        <v>1</v>
      </c>
      <c r="H248" s="153">
        <f t="shared" si="25"/>
        <v>1438.8000000000002</v>
      </c>
    </row>
    <row r="249" spans="1:8" x14ac:dyDescent="0.2">
      <c r="A249" s="138" t="s">
        <v>658</v>
      </c>
      <c r="B249" s="138" t="s">
        <v>659</v>
      </c>
      <c r="C249" s="150" t="s">
        <v>897</v>
      </c>
      <c r="D249" s="138"/>
      <c r="E249" s="139">
        <f t="shared" si="24"/>
        <v>10410.371999999999</v>
      </c>
      <c r="F249" s="187">
        <v>9550.7999999999993</v>
      </c>
      <c r="G249" s="152">
        <v>1</v>
      </c>
      <c r="H249" s="153">
        <f t="shared" si="25"/>
        <v>10410.371999999999</v>
      </c>
    </row>
    <row r="250" spans="1:8" x14ac:dyDescent="0.2">
      <c r="A250" s="138" t="s">
        <v>658</v>
      </c>
      <c r="B250" s="138" t="s">
        <v>659</v>
      </c>
      <c r="C250" s="150" t="s">
        <v>898</v>
      </c>
      <c r="D250" s="138"/>
      <c r="E250" s="139">
        <f t="shared" si="24"/>
        <v>1655.71</v>
      </c>
      <c r="F250" s="187">
        <v>1519</v>
      </c>
      <c r="G250" s="152">
        <v>1</v>
      </c>
      <c r="H250" s="153">
        <f t="shared" si="25"/>
        <v>1655.71</v>
      </c>
    </row>
    <row r="251" spans="1:8" x14ac:dyDescent="0.2">
      <c r="A251" s="138" t="s">
        <v>658</v>
      </c>
      <c r="B251" s="138" t="s">
        <v>659</v>
      </c>
      <c r="C251" s="150" t="s">
        <v>899</v>
      </c>
      <c r="D251" s="138"/>
      <c r="E251" s="139">
        <f t="shared" si="24"/>
        <v>337.24599999999998</v>
      </c>
      <c r="F251" s="187">
        <v>309.39999999999998</v>
      </c>
      <c r="G251" s="152">
        <v>1</v>
      </c>
      <c r="H251" s="153">
        <f t="shared" si="25"/>
        <v>337.24599999999998</v>
      </c>
    </row>
    <row r="252" spans="1:8" x14ac:dyDescent="0.2">
      <c r="A252" s="138" t="s">
        <v>658</v>
      </c>
      <c r="B252" s="138" t="s">
        <v>659</v>
      </c>
      <c r="C252" s="150" t="s">
        <v>900</v>
      </c>
      <c r="D252" s="138"/>
      <c r="E252" s="139">
        <f t="shared" si="24"/>
        <v>5995</v>
      </c>
      <c r="F252" s="187">
        <v>5500</v>
      </c>
      <c r="G252" s="152">
        <v>1</v>
      </c>
      <c r="H252" s="153">
        <f t="shared" si="25"/>
        <v>5995</v>
      </c>
    </row>
    <row r="253" spans="1:8" x14ac:dyDescent="0.2">
      <c r="A253" s="138" t="s">
        <v>658</v>
      </c>
      <c r="B253" s="138" t="s">
        <v>659</v>
      </c>
      <c r="C253" s="150" t="s">
        <v>901</v>
      </c>
      <c r="D253" s="138"/>
      <c r="E253" s="139">
        <f t="shared" si="24"/>
        <v>319.37</v>
      </c>
      <c r="F253" s="187">
        <v>293</v>
      </c>
      <c r="G253" s="152">
        <v>1</v>
      </c>
      <c r="H253" s="153">
        <f t="shared" si="25"/>
        <v>319.37</v>
      </c>
    </row>
    <row r="254" spans="1:8" x14ac:dyDescent="0.2">
      <c r="A254" s="138" t="s">
        <v>658</v>
      </c>
      <c r="B254" s="138" t="s">
        <v>659</v>
      </c>
      <c r="C254" s="150" t="s">
        <v>902</v>
      </c>
      <c r="D254" s="138"/>
      <c r="E254" s="139">
        <f t="shared" si="24"/>
        <v>505.76000000000005</v>
      </c>
      <c r="F254" s="187">
        <v>464</v>
      </c>
      <c r="G254" s="152">
        <v>1</v>
      </c>
      <c r="H254" s="153">
        <f t="shared" si="25"/>
        <v>505.76000000000005</v>
      </c>
    </row>
    <row r="255" spans="1:8" x14ac:dyDescent="0.2">
      <c r="A255" s="138" t="s">
        <v>658</v>
      </c>
      <c r="B255" s="138" t="s">
        <v>659</v>
      </c>
      <c r="C255" s="150" t="s">
        <v>903</v>
      </c>
      <c r="D255" s="138"/>
      <c r="E255" s="139">
        <f t="shared" si="24"/>
        <v>381.5</v>
      </c>
      <c r="F255" s="187">
        <v>350</v>
      </c>
      <c r="G255" s="152">
        <v>1</v>
      </c>
      <c r="H255" s="153">
        <f t="shared" si="25"/>
        <v>381.5</v>
      </c>
    </row>
    <row r="256" spans="1:8" x14ac:dyDescent="0.2">
      <c r="A256" s="138" t="s">
        <v>658</v>
      </c>
      <c r="B256" s="138" t="s">
        <v>659</v>
      </c>
      <c r="C256" s="150" t="s">
        <v>904</v>
      </c>
      <c r="D256" s="138"/>
      <c r="E256" s="139">
        <f t="shared" si="24"/>
        <v>4687</v>
      </c>
      <c r="F256" s="187">
        <v>4300</v>
      </c>
      <c r="G256" s="152">
        <v>1</v>
      </c>
      <c r="H256" s="153">
        <f t="shared" si="25"/>
        <v>4687</v>
      </c>
    </row>
    <row r="257" spans="1:8" x14ac:dyDescent="0.2">
      <c r="A257" s="138" t="s">
        <v>658</v>
      </c>
      <c r="B257" s="138" t="s">
        <v>659</v>
      </c>
      <c r="C257" s="150" t="s">
        <v>905</v>
      </c>
      <c r="D257" s="138"/>
      <c r="E257" s="139">
        <f t="shared" si="24"/>
        <v>8426.7900000000009</v>
      </c>
      <c r="F257" s="187">
        <v>7731</v>
      </c>
      <c r="G257" s="152">
        <v>1</v>
      </c>
      <c r="H257" s="153">
        <f t="shared" si="25"/>
        <v>8426.7900000000009</v>
      </c>
    </row>
    <row r="258" spans="1:8" x14ac:dyDescent="0.2">
      <c r="A258" s="138" t="s">
        <v>658</v>
      </c>
      <c r="B258" s="138" t="s">
        <v>659</v>
      </c>
      <c r="C258" s="150" t="s">
        <v>906</v>
      </c>
      <c r="D258" s="138"/>
      <c r="E258" s="139">
        <f t="shared" si="24"/>
        <v>169.32060000000001</v>
      </c>
      <c r="F258" s="187">
        <v>155.34</v>
      </c>
      <c r="G258" s="152">
        <v>1</v>
      </c>
      <c r="H258" s="153">
        <f t="shared" si="25"/>
        <v>169.32060000000001</v>
      </c>
    </row>
    <row r="259" spans="1:8" x14ac:dyDescent="0.2">
      <c r="A259" s="138" t="s">
        <v>658</v>
      </c>
      <c r="B259" s="138" t="s">
        <v>659</v>
      </c>
      <c r="C259" s="150" t="s">
        <v>907</v>
      </c>
      <c r="D259" s="138"/>
      <c r="E259" s="139">
        <f t="shared" si="24"/>
        <v>3048.5120000000006</v>
      </c>
      <c r="F259" s="187">
        <v>2796.8</v>
      </c>
      <c r="G259" s="152">
        <v>1</v>
      </c>
      <c r="H259" s="153">
        <f t="shared" si="25"/>
        <v>3048.5120000000006</v>
      </c>
    </row>
    <row r="260" spans="1:8" x14ac:dyDescent="0.2">
      <c r="A260" s="138" t="s">
        <v>658</v>
      </c>
      <c r="B260" s="138" t="s">
        <v>659</v>
      </c>
      <c r="C260" s="150" t="s">
        <v>908</v>
      </c>
      <c r="D260" s="138"/>
      <c r="E260" s="139">
        <f t="shared" si="24"/>
        <v>835.37600000000009</v>
      </c>
      <c r="F260" s="187">
        <v>766.4</v>
      </c>
      <c r="G260" s="152">
        <v>1</v>
      </c>
      <c r="H260" s="153">
        <f t="shared" si="25"/>
        <v>835.37600000000009</v>
      </c>
    </row>
    <row r="261" spans="1:8" x14ac:dyDescent="0.2">
      <c r="A261" s="138" t="s">
        <v>658</v>
      </c>
      <c r="B261" s="138" t="s">
        <v>659</v>
      </c>
      <c r="C261" s="150" t="s">
        <v>909</v>
      </c>
      <c r="D261" s="138"/>
      <c r="E261" s="139"/>
      <c r="F261" s="187">
        <v>4751.6000000000004</v>
      </c>
      <c r="G261" s="152">
        <v>1</v>
      </c>
      <c r="H261" s="153">
        <f t="shared" si="25"/>
        <v>5179.2440000000006</v>
      </c>
    </row>
    <row r="262" spans="1:8" x14ac:dyDescent="0.2">
      <c r="A262" s="138" t="s">
        <v>658</v>
      </c>
      <c r="B262" s="138" t="s">
        <v>659</v>
      </c>
      <c r="C262" s="150" t="s">
        <v>910</v>
      </c>
      <c r="D262" s="138"/>
      <c r="E262" s="139"/>
      <c r="F262" s="187">
        <v>2318</v>
      </c>
      <c r="G262" s="152">
        <v>1</v>
      </c>
      <c r="H262" s="153">
        <f t="shared" si="25"/>
        <v>2526.6200000000003</v>
      </c>
    </row>
    <row r="263" spans="1:8" x14ac:dyDescent="0.2">
      <c r="A263" s="138" t="s">
        <v>658</v>
      </c>
      <c r="B263" s="138" t="s">
        <v>659</v>
      </c>
      <c r="C263" s="150" t="s">
        <v>911</v>
      </c>
      <c r="D263" s="138"/>
      <c r="E263" s="139"/>
      <c r="F263" s="187">
        <v>4040.8</v>
      </c>
      <c r="G263" s="152">
        <v>1</v>
      </c>
      <c r="H263" s="153">
        <f t="shared" si="25"/>
        <v>4404.4720000000007</v>
      </c>
    </row>
    <row r="264" spans="1:8" x14ac:dyDescent="0.2">
      <c r="A264" s="138" t="s">
        <v>658</v>
      </c>
      <c r="B264" s="138" t="s">
        <v>659</v>
      </c>
      <c r="C264" s="150" t="s">
        <v>912</v>
      </c>
      <c r="D264" s="138"/>
      <c r="E264" s="139"/>
      <c r="F264" s="187">
        <v>810</v>
      </c>
      <c r="G264" s="152">
        <v>1</v>
      </c>
      <c r="H264" s="153">
        <f t="shared" si="25"/>
        <v>882.90000000000009</v>
      </c>
    </row>
    <row r="265" spans="1:8" x14ac:dyDescent="0.2">
      <c r="A265" s="138" t="s">
        <v>658</v>
      </c>
      <c r="B265" s="138" t="s">
        <v>659</v>
      </c>
      <c r="C265" s="150" t="s">
        <v>913</v>
      </c>
      <c r="D265" s="138"/>
      <c r="E265" s="139"/>
      <c r="F265" s="187">
        <v>370</v>
      </c>
      <c r="G265" s="152">
        <v>1</v>
      </c>
      <c r="H265" s="153">
        <f t="shared" si="25"/>
        <v>403.3</v>
      </c>
    </row>
    <row r="266" spans="1:8" x14ac:dyDescent="0.2">
      <c r="A266" s="138" t="s">
        <v>658</v>
      </c>
      <c r="B266" s="138" t="s">
        <v>659</v>
      </c>
      <c r="C266" s="150" t="s">
        <v>486</v>
      </c>
      <c r="D266" s="138"/>
      <c r="E266" s="139"/>
      <c r="F266" s="187">
        <v>180</v>
      </c>
      <c r="G266" s="152">
        <v>1</v>
      </c>
      <c r="H266" s="153">
        <f t="shared" si="25"/>
        <v>196.20000000000002</v>
      </c>
    </row>
    <row r="267" spans="1:8" x14ac:dyDescent="0.2">
      <c r="A267" s="138" t="s">
        <v>658</v>
      </c>
      <c r="B267" s="138" t="s">
        <v>659</v>
      </c>
      <c r="C267" s="150" t="s">
        <v>487</v>
      </c>
      <c r="D267" s="138"/>
      <c r="E267" s="139"/>
      <c r="F267" s="187">
        <v>0.4</v>
      </c>
      <c r="G267" s="152">
        <v>1</v>
      </c>
      <c r="H267" s="153">
        <f t="shared" si="25"/>
        <v>0.43600000000000005</v>
      </c>
    </row>
    <row r="268" spans="1:8" x14ac:dyDescent="0.2">
      <c r="A268" s="138" t="s">
        <v>658</v>
      </c>
      <c r="B268" s="138" t="s">
        <v>659</v>
      </c>
      <c r="C268" s="150" t="s">
        <v>914</v>
      </c>
      <c r="D268" s="138"/>
      <c r="E268" s="139"/>
      <c r="F268" s="187">
        <v>32300</v>
      </c>
      <c r="G268" s="152">
        <v>1</v>
      </c>
      <c r="H268" s="153">
        <f t="shared" si="25"/>
        <v>35207</v>
      </c>
    </row>
    <row r="269" spans="1:8" x14ac:dyDescent="0.2">
      <c r="A269" s="138" t="s">
        <v>658</v>
      </c>
      <c r="B269" s="138" t="s">
        <v>659</v>
      </c>
      <c r="C269" s="150" t="s">
        <v>915</v>
      </c>
      <c r="D269" s="138"/>
      <c r="E269" s="139"/>
      <c r="F269" s="187">
        <v>250</v>
      </c>
      <c r="G269" s="152">
        <v>1</v>
      </c>
      <c r="H269" s="153">
        <f t="shared" si="25"/>
        <v>272.5</v>
      </c>
    </row>
    <row r="270" spans="1:8" x14ac:dyDescent="0.2">
      <c r="A270" s="138" t="s">
        <v>658</v>
      </c>
      <c r="B270" s="138" t="s">
        <v>659</v>
      </c>
      <c r="C270" s="150" t="s">
        <v>916</v>
      </c>
      <c r="D270" s="138"/>
      <c r="E270" s="139"/>
      <c r="F270" s="187">
        <v>0.5</v>
      </c>
      <c r="G270" s="152">
        <v>1</v>
      </c>
      <c r="H270" s="153">
        <f t="shared" si="25"/>
        <v>0.54500000000000004</v>
      </c>
    </row>
    <row r="271" spans="1:8" x14ac:dyDescent="0.2">
      <c r="A271" s="138" t="s">
        <v>658</v>
      </c>
      <c r="B271" s="138" t="s">
        <v>659</v>
      </c>
      <c r="C271" s="150" t="s">
        <v>917</v>
      </c>
      <c r="D271" s="138"/>
      <c r="E271" s="139"/>
      <c r="F271" s="187">
        <v>249.5</v>
      </c>
      <c r="G271" s="152">
        <v>1</v>
      </c>
      <c r="H271" s="153">
        <f t="shared" si="25"/>
        <v>271.95500000000004</v>
      </c>
    </row>
    <row r="272" spans="1:8" x14ac:dyDescent="0.2">
      <c r="A272" s="138" t="s">
        <v>658</v>
      </c>
      <c r="B272" s="138" t="s">
        <v>659</v>
      </c>
      <c r="C272" s="150" t="s">
        <v>918</v>
      </c>
      <c r="D272" s="138"/>
      <c r="E272" s="139"/>
      <c r="F272" s="187">
        <v>37.450000000000003</v>
      </c>
      <c r="G272" s="152">
        <v>1</v>
      </c>
      <c r="H272" s="153">
        <f t="shared" si="25"/>
        <v>40.820500000000003</v>
      </c>
    </row>
    <row r="273" spans="1:8" x14ac:dyDescent="0.2">
      <c r="A273" s="138" t="s">
        <v>658</v>
      </c>
      <c r="B273" s="138" t="s">
        <v>659</v>
      </c>
      <c r="C273" s="150" t="s">
        <v>919</v>
      </c>
      <c r="D273" s="138"/>
      <c r="E273" s="139">
        <f t="shared" si="24"/>
        <v>9210.5</v>
      </c>
      <c r="F273" s="187">
        <v>8450</v>
      </c>
      <c r="G273" s="152">
        <v>1</v>
      </c>
      <c r="H273" s="153">
        <f t="shared" si="25"/>
        <v>9210.5</v>
      </c>
    </row>
    <row r="274" spans="1:8" x14ac:dyDescent="0.2">
      <c r="A274" s="138" t="s">
        <v>658</v>
      </c>
      <c r="B274" s="138" t="s">
        <v>659</v>
      </c>
      <c r="C274" s="150" t="s">
        <v>864</v>
      </c>
      <c r="D274" s="138"/>
      <c r="E274" s="139">
        <f t="shared" si="24"/>
        <v>294300</v>
      </c>
      <c r="F274" s="187">
        <v>270000</v>
      </c>
      <c r="G274" s="152">
        <v>1</v>
      </c>
      <c r="H274" s="153">
        <f t="shared" si="25"/>
        <v>294300</v>
      </c>
    </row>
    <row r="275" spans="1:8" s="184" customFormat="1" x14ac:dyDescent="0.2">
      <c r="A275" s="233" t="s">
        <v>660</v>
      </c>
      <c r="B275" s="234"/>
      <c r="C275" s="234"/>
      <c r="D275" s="234"/>
      <c r="E275" s="234"/>
      <c r="F275" s="234"/>
      <c r="G275" s="235"/>
      <c r="H275" s="140">
        <f>SUM(H212:H274)</f>
        <v>10584999.995299999</v>
      </c>
    </row>
    <row r="276" spans="1:8" x14ac:dyDescent="0.2">
      <c r="A276" s="138" t="s">
        <v>661</v>
      </c>
      <c r="B276" s="138" t="s">
        <v>662</v>
      </c>
      <c r="C276" s="150" t="s">
        <v>459</v>
      </c>
      <c r="D276" s="138" t="s">
        <v>452</v>
      </c>
      <c r="E276" s="139">
        <f t="shared" ref="E276:E308" si="26">H276/G276</f>
        <v>59500</v>
      </c>
      <c r="F276" s="188">
        <v>50000</v>
      </c>
      <c r="G276" s="138">
        <v>1</v>
      </c>
      <c r="H276" s="139">
        <f>G276*F276*1.19</f>
        <v>59500</v>
      </c>
    </row>
    <row r="277" spans="1:8" x14ac:dyDescent="0.2">
      <c r="A277" s="138" t="s">
        <v>661</v>
      </c>
      <c r="B277" s="138" t="s">
        <v>662</v>
      </c>
      <c r="C277" s="189" t="s">
        <v>952</v>
      </c>
      <c r="D277" s="138" t="s">
        <v>452</v>
      </c>
      <c r="E277" s="139">
        <f t="shared" si="26"/>
        <v>29750</v>
      </c>
      <c r="F277" s="190">
        <v>25000</v>
      </c>
      <c r="G277" s="138">
        <v>1</v>
      </c>
      <c r="H277" s="139">
        <f t="shared" ref="H277:H308" si="27">G277*F277*1.19</f>
        <v>29750</v>
      </c>
    </row>
    <row r="278" spans="1:8" x14ac:dyDescent="0.2">
      <c r="A278" s="138" t="s">
        <v>661</v>
      </c>
      <c r="B278" s="138" t="s">
        <v>662</v>
      </c>
      <c r="C278" s="138" t="s">
        <v>232</v>
      </c>
      <c r="D278" s="138" t="s">
        <v>452</v>
      </c>
      <c r="E278" s="139">
        <f t="shared" si="26"/>
        <v>1766753.3333333333</v>
      </c>
      <c r="F278" s="186">
        <f>4454000/3</f>
        <v>1484666.6666666667</v>
      </c>
      <c r="G278" s="138">
        <v>1</v>
      </c>
      <c r="H278" s="139">
        <f t="shared" si="27"/>
        <v>1766753.3333333333</v>
      </c>
    </row>
    <row r="279" spans="1:8" x14ac:dyDescent="0.2">
      <c r="A279" s="138" t="s">
        <v>661</v>
      </c>
      <c r="B279" s="138" t="s">
        <v>662</v>
      </c>
      <c r="C279" s="189" t="s">
        <v>950</v>
      </c>
      <c r="D279" s="138" t="s">
        <v>452</v>
      </c>
      <c r="E279" s="139">
        <f t="shared" si="26"/>
        <v>23800</v>
      </c>
      <c r="F279" s="190">
        <v>20000</v>
      </c>
      <c r="G279" s="138">
        <v>1</v>
      </c>
      <c r="H279" s="139">
        <f t="shared" si="27"/>
        <v>23800</v>
      </c>
    </row>
    <row r="280" spans="1:8" x14ac:dyDescent="0.2">
      <c r="A280" s="138" t="s">
        <v>661</v>
      </c>
      <c r="B280" s="138" t="s">
        <v>662</v>
      </c>
      <c r="C280" s="150" t="s">
        <v>460</v>
      </c>
      <c r="D280" s="138" t="s">
        <v>452</v>
      </c>
      <c r="E280" s="139">
        <f t="shared" si="26"/>
        <v>89250</v>
      </c>
      <c r="F280" s="188">
        <v>75000</v>
      </c>
      <c r="G280" s="138">
        <v>1</v>
      </c>
      <c r="H280" s="139">
        <f t="shared" si="27"/>
        <v>89250</v>
      </c>
    </row>
    <row r="281" spans="1:8" x14ac:dyDescent="0.2">
      <c r="A281" s="138" t="s">
        <v>661</v>
      </c>
      <c r="B281" s="138" t="s">
        <v>662</v>
      </c>
      <c r="C281" s="150" t="s">
        <v>951</v>
      </c>
      <c r="D281" s="138" t="s">
        <v>452</v>
      </c>
      <c r="E281" s="139">
        <f t="shared" si="26"/>
        <v>414120</v>
      </c>
      <c r="F281" s="188">
        <v>348000</v>
      </c>
      <c r="G281" s="138">
        <v>1</v>
      </c>
      <c r="H281" s="139">
        <f t="shared" si="27"/>
        <v>414120</v>
      </c>
    </row>
    <row r="282" spans="1:8" x14ac:dyDescent="0.2">
      <c r="A282" s="138" t="s">
        <v>661</v>
      </c>
      <c r="B282" s="138" t="s">
        <v>662</v>
      </c>
      <c r="C282" s="138" t="s">
        <v>946</v>
      </c>
      <c r="D282" s="138" t="s">
        <v>452</v>
      </c>
      <c r="E282" s="139">
        <f t="shared" si="26"/>
        <v>491374.8</v>
      </c>
      <c r="F282" s="186">
        <v>412920</v>
      </c>
      <c r="G282" s="138">
        <v>1</v>
      </c>
      <c r="H282" s="139">
        <f t="shared" si="27"/>
        <v>491374.8</v>
      </c>
    </row>
    <row r="283" spans="1:8" x14ac:dyDescent="0.2">
      <c r="A283" s="138" t="s">
        <v>661</v>
      </c>
      <c r="B283" s="138" t="s">
        <v>662</v>
      </c>
      <c r="C283" s="150" t="s">
        <v>461</v>
      </c>
      <c r="D283" s="138" t="s">
        <v>452</v>
      </c>
      <c r="E283" s="139">
        <f>3.98</f>
        <v>3.98</v>
      </c>
      <c r="F283" s="188">
        <v>81000</v>
      </c>
      <c r="G283" s="138">
        <v>1</v>
      </c>
      <c r="H283" s="139">
        <f t="shared" si="27"/>
        <v>96390</v>
      </c>
    </row>
    <row r="284" spans="1:8" x14ac:dyDescent="0.2">
      <c r="A284" s="138" t="s">
        <v>661</v>
      </c>
      <c r="B284" s="138" t="s">
        <v>662</v>
      </c>
      <c r="C284" s="150" t="s">
        <v>505</v>
      </c>
      <c r="D284" s="138" t="s">
        <v>452</v>
      </c>
      <c r="E284" s="139">
        <v>5.2</v>
      </c>
      <c r="F284" s="188">
        <v>700000</v>
      </c>
      <c r="G284" s="138">
        <v>1</v>
      </c>
      <c r="H284" s="139">
        <f t="shared" si="27"/>
        <v>833000</v>
      </c>
    </row>
    <row r="285" spans="1:8" x14ac:dyDescent="0.2">
      <c r="A285" s="138" t="s">
        <v>661</v>
      </c>
      <c r="B285" s="138" t="s">
        <v>662</v>
      </c>
      <c r="C285" s="150" t="s">
        <v>506</v>
      </c>
      <c r="D285" s="138" t="s">
        <v>452</v>
      </c>
      <c r="E285" s="139">
        <f t="shared" si="26"/>
        <v>2084611.4765000001</v>
      </c>
      <c r="F285" s="188">
        <v>1751774.35</v>
      </c>
      <c r="G285" s="138">
        <v>1</v>
      </c>
      <c r="H285" s="139">
        <f t="shared" si="27"/>
        <v>2084611.4765000001</v>
      </c>
    </row>
    <row r="286" spans="1:8" x14ac:dyDescent="0.2">
      <c r="A286" s="138" t="s">
        <v>661</v>
      </c>
      <c r="B286" s="138" t="s">
        <v>662</v>
      </c>
      <c r="C286" s="150" t="s">
        <v>507</v>
      </c>
      <c r="D286" s="138" t="s">
        <v>452</v>
      </c>
      <c r="E286" s="139">
        <v>1.2</v>
      </c>
      <c r="F286" s="188">
        <v>700000</v>
      </c>
      <c r="G286" s="138">
        <v>1</v>
      </c>
      <c r="H286" s="139">
        <f t="shared" si="27"/>
        <v>833000</v>
      </c>
    </row>
    <row r="287" spans="1:8" x14ac:dyDescent="0.2">
      <c r="A287" s="138" t="s">
        <v>661</v>
      </c>
      <c r="B287" s="138" t="s">
        <v>662</v>
      </c>
      <c r="C287" s="150" t="s">
        <v>867</v>
      </c>
      <c r="D287" s="138" t="s">
        <v>452</v>
      </c>
      <c r="E287" s="139">
        <f t="shared" si="26"/>
        <v>241242.75</v>
      </c>
      <c r="F287" s="188">
        <v>202725</v>
      </c>
      <c r="G287" s="138">
        <v>1</v>
      </c>
      <c r="H287" s="139">
        <f t="shared" si="27"/>
        <v>241242.75</v>
      </c>
    </row>
    <row r="288" spans="1:8" x14ac:dyDescent="0.2">
      <c r="A288" s="138" t="s">
        <v>661</v>
      </c>
      <c r="B288" s="138" t="s">
        <v>662</v>
      </c>
      <c r="C288" s="150" t="s">
        <v>873</v>
      </c>
      <c r="D288" s="138" t="s">
        <v>452</v>
      </c>
      <c r="E288" s="139">
        <f t="shared" si="26"/>
        <v>1262149.7</v>
      </c>
      <c r="F288" s="188">
        <f>1060630</f>
        <v>1060630</v>
      </c>
      <c r="G288" s="138">
        <v>1</v>
      </c>
      <c r="H288" s="139">
        <f t="shared" si="27"/>
        <v>1262149.7</v>
      </c>
    </row>
    <row r="289" spans="1:8" x14ac:dyDescent="0.2">
      <c r="A289" s="138" t="s">
        <v>661</v>
      </c>
      <c r="B289" s="138" t="s">
        <v>662</v>
      </c>
      <c r="C289" s="138" t="s">
        <v>927</v>
      </c>
      <c r="D289" s="138" t="s">
        <v>1463</v>
      </c>
      <c r="E289" s="139">
        <f t="shared" si="26"/>
        <v>6711.5999999999995</v>
      </c>
      <c r="F289" s="191">
        <f>470*12</f>
        <v>5640</v>
      </c>
      <c r="G289" s="138">
        <v>1</v>
      </c>
      <c r="H289" s="139">
        <f t="shared" si="27"/>
        <v>6711.5999999999995</v>
      </c>
    </row>
    <row r="290" spans="1:8" x14ac:dyDescent="0.2">
      <c r="A290" s="138" t="s">
        <v>661</v>
      </c>
      <c r="B290" s="138" t="s">
        <v>662</v>
      </c>
      <c r="C290" s="138" t="s">
        <v>636</v>
      </c>
      <c r="D290" s="138" t="s">
        <v>1463</v>
      </c>
      <c r="E290" s="139">
        <f t="shared" si="26"/>
        <v>2677.5</v>
      </c>
      <c r="F290" s="191">
        <v>2250</v>
      </c>
      <c r="G290" s="138">
        <v>1</v>
      </c>
      <c r="H290" s="139">
        <f t="shared" si="27"/>
        <v>2677.5</v>
      </c>
    </row>
    <row r="291" spans="1:8" x14ac:dyDescent="0.2">
      <c r="A291" s="138" t="s">
        <v>661</v>
      </c>
      <c r="B291" s="138" t="s">
        <v>662</v>
      </c>
      <c r="C291" s="138" t="s">
        <v>926</v>
      </c>
      <c r="D291" s="138" t="s">
        <v>1463</v>
      </c>
      <c r="E291" s="139">
        <f t="shared" si="26"/>
        <v>3650.9199999999996</v>
      </c>
      <c r="F291" s="191">
        <v>3068</v>
      </c>
      <c r="G291" s="138">
        <v>1</v>
      </c>
      <c r="H291" s="139">
        <f t="shared" si="27"/>
        <v>3650.9199999999996</v>
      </c>
    </row>
    <row r="292" spans="1:8" x14ac:dyDescent="0.2">
      <c r="A292" s="138" t="s">
        <v>661</v>
      </c>
      <c r="B292" s="138" t="s">
        <v>662</v>
      </c>
      <c r="C292" s="138" t="s">
        <v>928</v>
      </c>
      <c r="D292" s="138" t="s">
        <v>1463</v>
      </c>
      <c r="E292" s="139">
        <f t="shared" si="26"/>
        <v>13794.48</v>
      </c>
      <c r="F292" s="191">
        <v>11592</v>
      </c>
      <c r="G292" s="138">
        <v>1</v>
      </c>
      <c r="H292" s="139">
        <f t="shared" si="27"/>
        <v>13794.48</v>
      </c>
    </row>
    <row r="293" spans="1:8" x14ac:dyDescent="0.2">
      <c r="A293" s="138" t="s">
        <v>661</v>
      </c>
      <c r="B293" s="138" t="s">
        <v>662</v>
      </c>
      <c r="C293" s="138" t="s">
        <v>683</v>
      </c>
      <c r="D293" s="138" t="s">
        <v>1463</v>
      </c>
      <c r="E293" s="139">
        <f t="shared" si="26"/>
        <v>8058.6799999999994</v>
      </c>
      <c r="F293" s="191">
        <v>6772</v>
      </c>
      <c r="G293" s="138">
        <v>1</v>
      </c>
      <c r="H293" s="139">
        <f t="shared" si="27"/>
        <v>8058.6799999999994</v>
      </c>
    </row>
    <row r="294" spans="1:8" x14ac:dyDescent="0.2">
      <c r="A294" s="138" t="s">
        <v>661</v>
      </c>
      <c r="B294" s="138" t="s">
        <v>662</v>
      </c>
      <c r="C294" s="138" t="s">
        <v>664</v>
      </c>
      <c r="D294" s="138" t="s">
        <v>1463</v>
      </c>
      <c r="E294" s="139">
        <f t="shared" si="26"/>
        <v>8021.79</v>
      </c>
      <c r="F294" s="191">
        <v>6741</v>
      </c>
      <c r="G294" s="138">
        <v>1</v>
      </c>
      <c r="H294" s="139">
        <f t="shared" si="27"/>
        <v>8021.79</v>
      </c>
    </row>
    <row r="295" spans="1:8" x14ac:dyDescent="0.2">
      <c r="A295" s="138" t="s">
        <v>661</v>
      </c>
      <c r="B295" s="138" t="s">
        <v>662</v>
      </c>
      <c r="C295" s="138" t="s">
        <v>930</v>
      </c>
      <c r="D295" s="138" t="s">
        <v>1463</v>
      </c>
      <c r="E295" s="139">
        <f t="shared" si="26"/>
        <v>23800</v>
      </c>
      <c r="F295" s="191">
        <v>20000</v>
      </c>
      <c r="G295" s="138">
        <v>1</v>
      </c>
      <c r="H295" s="139">
        <f t="shared" si="27"/>
        <v>23800</v>
      </c>
    </row>
    <row r="296" spans="1:8" x14ac:dyDescent="0.2">
      <c r="A296" s="138" t="s">
        <v>661</v>
      </c>
      <c r="B296" s="138" t="s">
        <v>662</v>
      </c>
      <c r="C296" s="138" t="s">
        <v>710</v>
      </c>
      <c r="D296" s="138" t="s">
        <v>1463</v>
      </c>
      <c r="E296" s="139">
        <f t="shared" si="26"/>
        <v>23800</v>
      </c>
      <c r="F296" s="191">
        <v>20000</v>
      </c>
      <c r="G296" s="138">
        <v>1</v>
      </c>
      <c r="H296" s="139">
        <f t="shared" si="27"/>
        <v>23800</v>
      </c>
    </row>
    <row r="297" spans="1:8" x14ac:dyDescent="0.2">
      <c r="A297" s="138" t="s">
        <v>661</v>
      </c>
      <c r="B297" s="138" t="s">
        <v>662</v>
      </c>
      <c r="C297" s="138" t="s">
        <v>931</v>
      </c>
      <c r="D297" s="138" t="s">
        <v>1463</v>
      </c>
      <c r="E297" s="139">
        <f t="shared" si="26"/>
        <v>23800</v>
      </c>
      <c r="F297" s="191">
        <v>20000</v>
      </c>
      <c r="G297" s="138">
        <v>1</v>
      </c>
      <c r="H297" s="139">
        <f t="shared" si="27"/>
        <v>23800</v>
      </c>
    </row>
    <row r="298" spans="1:8" x14ac:dyDescent="0.2">
      <c r="A298" s="138" t="s">
        <v>661</v>
      </c>
      <c r="B298" s="138" t="s">
        <v>662</v>
      </c>
      <c r="C298" s="138" t="s">
        <v>932</v>
      </c>
      <c r="D298" s="138" t="s">
        <v>1463</v>
      </c>
      <c r="E298" s="139">
        <f t="shared" si="26"/>
        <v>119000</v>
      </c>
      <c r="F298" s="191">
        <v>100000</v>
      </c>
      <c r="G298" s="138">
        <v>1</v>
      </c>
      <c r="H298" s="139">
        <f t="shared" si="27"/>
        <v>119000</v>
      </c>
    </row>
    <row r="299" spans="1:8" x14ac:dyDescent="0.2">
      <c r="A299" s="138" t="s">
        <v>661</v>
      </c>
      <c r="B299" s="138" t="s">
        <v>662</v>
      </c>
      <c r="C299" s="138" t="s">
        <v>933</v>
      </c>
      <c r="D299" s="138" t="s">
        <v>1463</v>
      </c>
      <c r="E299" s="139">
        <f t="shared" si="26"/>
        <v>50426.25</v>
      </c>
      <c r="F299" s="191">
        <v>42375</v>
      </c>
      <c r="G299" s="138">
        <v>1</v>
      </c>
      <c r="H299" s="139">
        <f t="shared" si="27"/>
        <v>50426.25</v>
      </c>
    </row>
    <row r="300" spans="1:8" x14ac:dyDescent="0.2">
      <c r="A300" s="138" t="s">
        <v>661</v>
      </c>
      <c r="B300" s="138" t="s">
        <v>662</v>
      </c>
      <c r="C300" s="138" t="s">
        <v>934</v>
      </c>
      <c r="D300" s="138" t="s">
        <v>1463</v>
      </c>
      <c r="E300" s="139">
        <f t="shared" si="26"/>
        <v>12861.519999999999</v>
      </c>
      <c r="F300" s="191">
        <v>10808</v>
      </c>
      <c r="G300" s="138">
        <v>1</v>
      </c>
      <c r="H300" s="139">
        <f t="shared" si="27"/>
        <v>12861.519999999999</v>
      </c>
    </row>
    <row r="301" spans="1:8" x14ac:dyDescent="0.2">
      <c r="A301" s="138" t="s">
        <v>661</v>
      </c>
      <c r="B301" s="138" t="s">
        <v>662</v>
      </c>
      <c r="C301" s="138" t="s">
        <v>935</v>
      </c>
      <c r="D301" s="138" t="s">
        <v>1463</v>
      </c>
      <c r="E301" s="139">
        <f t="shared" si="26"/>
        <v>83062</v>
      </c>
      <c r="F301" s="191">
        <v>69800</v>
      </c>
      <c r="G301" s="138">
        <v>1</v>
      </c>
      <c r="H301" s="139">
        <f t="shared" si="27"/>
        <v>83062</v>
      </c>
    </row>
    <row r="302" spans="1:8" x14ac:dyDescent="0.2">
      <c r="A302" s="138" t="s">
        <v>661</v>
      </c>
      <c r="B302" s="138" t="s">
        <v>662</v>
      </c>
      <c r="C302" s="138" t="s">
        <v>936</v>
      </c>
      <c r="D302" s="138" t="s">
        <v>1463</v>
      </c>
      <c r="E302" s="139">
        <f t="shared" si="26"/>
        <v>2380</v>
      </c>
      <c r="F302" s="191">
        <v>2000</v>
      </c>
      <c r="G302" s="138">
        <v>1</v>
      </c>
      <c r="H302" s="139">
        <f t="shared" si="27"/>
        <v>2380</v>
      </c>
    </row>
    <row r="303" spans="1:8" x14ac:dyDescent="0.2">
      <c r="A303" s="138" t="s">
        <v>661</v>
      </c>
      <c r="B303" s="138" t="s">
        <v>662</v>
      </c>
      <c r="C303" s="138" t="s">
        <v>937</v>
      </c>
      <c r="D303" s="138" t="s">
        <v>1463</v>
      </c>
      <c r="E303" s="139">
        <f t="shared" si="26"/>
        <v>5831</v>
      </c>
      <c r="F303" s="191">
        <v>4900</v>
      </c>
      <c r="G303" s="138">
        <v>1</v>
      </c>
      <c r="H303" s="139">
        <f t="shared" si="27"/>
        <v>5831</v>
      </c>
    </row>
    <row r="304" spans="1:8" x14ac:dyDescent="0.2">
      <c r="A304" s="138" t="s">
        <v>661</v>
      </c>
      <c r="B304" s="138" t="s">
        <v>662</v>
      </c>
      <c r="C304" s="138" t="s">
        <v>938</v>
      </c>
      <c r="D304" s="138" t="s">
        <v>1463</v>
      </c>
      <c r="E304" s="139">
        <f t="shared" si="26"/>
        <v>2975</v>
      </c>
      <c r="F304" s="191">
        <v>2500</v>
      </c>
      <c r="G304" s="138">
        <v>1</v>
      </c>
      <c r="H304" s="139">
        <f t="shared" si="27"/>
        <v>2975</v>
      </c>
    </row>
    <row r="305" spans="1:8" x14ac:dyDescent="0.2">
      <c r="A305" s="138" t="s">
        <v>661</v>
      </c>
      <c r="B305" s="138" t="s">
        <v>662</v>
      </c>
      <c r="C305" s="138" t="s">
        <v>939</v>
      </c>
      <c r="D305" s="138" t="s">
        <v>1463</v>
      </c>
      <c r="E305" s="139">
        <f t="shared" si="26"/>
        <v>523.6</v>
      </c>
      <c r="F305" s="191">
        <v>440</v>
      </c>
      <c r="G305" s="138">
        <v>1</v>
      </c>
      <c r="H305" s="139">
        <f t="shared" si="27"/>
        <v>523.6</v>
      </c>
    </row>
    <row r="306" spans="1:8" x14ac:dyDescent="0.2">
      <c r="A306" s="138" t="s">
        <v>661</v>
      </c>
      <c r="B306" s="138" t="s">
        <v>662</v>
      </c>
      <c r="C306" s="138" t="s">
        <v>940</v>
      </c>
      <c r="D306" s="138" t="s">
        <v>1463</v>
      </c>
      <c r="E306" s="139">
        <f t="shared" si="26"/>
        <v>595</v>
      </c>
      <c r="F306" s="191">
        <v>500</v>
      </c>
      <c r="G306" s="138">
        <v>1</v>
      </c>
      <c r="H306" s="139">
        <f t="shared" si="27"/>
        <v>595</v>
      </c>
    </row>
    <row r="307" spans="1:8" x14ac:dyDescent="0.2">
      <c r="A307" s="138" t="s">
        <v>661</v>
      </c>
      <c r="B307" s="138" t="s">
        <v>662</v>
      </c>
      <c r="C307" s="138" t="s">
        <v>941</v>
      </c>
      <c r="D307" s="138" t="s">
        <v>1463</v>
      </c>
      <c r="E307" s="139">
        <f t="shared" si="26"/>
        <v>476</v>
      </c>
      <c r="F307" s="191">
        <v>400</v>
      </c>
      <c r="G307" s="138">
        <v>1</v>
      </c>
      <c r="H307" s="139">
        <f t="shared" si="27"/>
        <v>476</v>
      </c>
    </row>
    <row r="308" spans="1:8" x14ac:dyDescent="0.2">
      <c r="A308" s="138" t="s">
        <v>661</v>
      </c>
      <c r="B308" s="138" t="s">
        <v>662</v>
      </c>
      <c r="C308" s="138" t="s">
        <v>863</v>
      </c>
      <c r="D308" s="138" t="s">
        <v>1463</v>
      </c>
      <c r="E308" s="139">
        <f t="shared" si="26"/>
        <v>10876.6</v>
      </c>
      <c r="F308" s="191">
        <v>9140</v>
      </c>
      <c r="G308" s="138">
        <v>1</v>
      </c>
      <c r="H308" s="139">
        <f t="shared" si="27"/>
        <v>10876.6</v>
      </c>
    </row>
    <row r="309" spans="1:8" x14ac:dyDescent="0.2">
      <c r="A309" s="233" t="s">
        <v>734</v>
      </c>
      <c r="B309" s="234"/>
      <c r="C309" s="234"/>
      <c r="D309" s="234"/>
      <c r="E309" s="234"/>
      <c r="F309" s="234"/>
      <c r="G309" s="235"/>
      <c r="H309" s="140">
        <f>SUM(H276:H308)</f>
        <v>8628263.9998333305</v>
      </c>
    </row>
    <row r="310" spans="1:8" x14ac:dyDescent="0.2">
      <c r="A310" s="138" t="s">
        <v>735</v>
      </c>
      <c r="B310" s="138" t="s">
        <v>736</v>
      </c>
      <c r="C310" s="150" t="s">
        <v>737</v>
      </c>
      <c r="D310" s="138" t="s">
        <v>541</v>
      </c>
      <c r="E310" s="182">
        <v>35</v>
      </c>
      <c r="F310" s="139">
        <f>E310*1.15</f>
        <v>40.25</v>
      </c>
      <c r="G310" s="183">
        <v>50</v>
      </c>
      <c r="H310" s="139">
        <f>G310*F310*1.19</f>
        <v>2394.875</v>
      </c>
    </row>
    <row r="311" spans="1:8" x14ac:dyDescent="0.2">
      <c r="A311" s="138" t="s">
        <v>735</v>
      </c>
      <c r="B311" s="138" t="s">
        <v>736</v>
      </c>
      <c r="C311" s="150" t="s">
        <v>748</v>
      </c>
      <c r="D311" s="138" t="s">
        <v>739</v>
      </c>
      <c r="E311" s="182">
        <v>30</v>
      </c>
      <c r="F311" s="139">
        <f t="shared" ref="F311:F329" si="28">E311*1.15</f>
        <v>34.5</v>
      </c>
      <c r="G311" s="183">
        <v>50</v>
      </c>
      <c r="H311" s="139">
        <f t="shared" ref="H311:H329" si="29">G311*F311*1.19</f>
        <v>2052.75</v>
      </c>
    </row>
    <row r="312" spans="1:8" x14ac:dyDescent="0.2">
      <c r="A312" s="138" t="s">
        <v>735</v>
      </c>
      <c r="B312" s="138" t="s">
        <v>736</v>
      </c>
      <c r="C312" s="150" t="s">
        <v>738</v>
      </c>
      <c r="D312" s="138" t="s">
        <v>739</v>
      </c>
      <c r="E312" s="182">
        <v>30</v>
      </c>
      <c r="F312" s="139">
        <f t="shared" si="28"/>
        <v>34.5</v>
      </c>
      <c r="G312" s="183">
        <v>51</v>
      </c>
      <c r="H312" s="139">
        <f t="shared" si="29"/>
        <v>2093.8049999999998</v>
      </c>
    </row>
    <row r="313" spans="1:8" x14ac:dyDescent="0.2">
      <c r="A313" s="138" t="s">
        <v>735</v>
      </c>
      <c r="B313" s="138" t="s">
        <v>736</v>
      </c>
      <c r="C313" s="150" t="s">
        <v>740</v>
      </c>
      <c r="D313" s="138" t="s">
        <v>541</v>
      </c>
      <c r="E313" s="182">
        <v>52.5</v>
      </c>
      <c r="F313" s="139">
        <f t="shared" si="28"/>
        <v>60.374999999999993</v>
      </c>
      <c r="G313" s="183">
        <v>45</v>
      </c>
      <c r="H313" s="139">
        <f t="shared" si="29"/>
        <v>3233.0812499999993</v>
      </c>
    </row>
    <row r="314" spans="1:8" x14ac:dyDescent="0.2">
      <c r="A314" s="138" t="s">
        <v>735</v>
      </c>
      <c r="B314" s="138" t="s">
        <v>736</v>
      </c>
      <c r="C314" s="150" t="s">
        <v>747</v>
      </c>
      <c r="D314" s="138" t="s">
        <v>637</v>
      </c>
      <c r="E314" s="182">
        <v>7.89</v>
      </c>
      <c r="F314" s="139">
        <f t="shared" si="28"/>
        <v>9.0734999999999992</v>
      </c>
      <c r="G314" s="183">
        <v>2500</v>
      </c>
      <c r="H314" s="139">
        <f t="shared" si="29"/>
        <v>26993.662499999995</v>
      </c>
    </row>
    <row r="315" spans="1:8" x14ac:dyDescent="0.2">
      <c r="A315" s="138" t="s">
        <v>735</v>
      </c>
      <c r="B315" s="138" t="s">
        <v>736</v>
      </c>
      <c r="C315" s="150" t="s">
        <v>741</v>
      </c>
      <c r="D315" s="138" t="s">
        <v>637</v>
      </c>
      <c r="E315" s="182">
        <v>19.5</v>
      </c>
      <c r="F315" s="139">
        <v>22.414999999999999</v>
      </c>
      <c r="G315" s="183">
        <v>850</v>
      </c>
      <c r="H315" s="139">
        <f t="shared" si="29"/>
        <v>22672.772499999999</v>
      </c>
    </row>
    <row r="316" spans="1:8" x14ac:dyDescent="0.2">
      <c r="A316" s="138" t="s">
        <v>735</v>
      </c>
      <c r="B316" s="138" t="s">
        <v>736</v>
      </c>
      <c r="C316" s="150" t="s">
        <v>744</v>
      </c>
      <c r="D316" s="138" t="s">
        <v>688</v>
      </c>
      <c r="E316" s="182">
        <v>60</v>
      </c>
      <c r="F316" s="139">
        <v>69.435000000000002</v>
      </c>
      <c r="G316" s="183">
        <v>40</v>
      </c>
      <c r="H316" s="139">
        <f t="shared" si="29"/>
        <v>3305.1059999999998</v>
      </c>
    </row>
    <row r="317" spans="1:8" x14ac:dyDescent="0.2">
      <c r="A317" s="138" t="s">
        <v>735</v>
      </c>
      <c r="B317" s="138" t="s">
        <v>736</v>
      </c>
      <c r="C317" s="150" t="s">
        <v>1357</v>
      </c>
      <c r="D317" s="138" t="s">
        <v>519</v>
      </c>
      <c r="E317" s="182">
        <v>8800</v>
      </c>
      <c r="F317" s="139">
        <f t="shared" si="28"/>
        <v>10120</v>
      </c>
      <c r="G317" s="183">
        <v>20</v>
      </c>
      <c r="H317" s="139">
        <f t="shared" si="29"/>
        <v>240856</v>
      </c>
    </row>
    <row r="318" spans="1:8" x14ac:dyDescent="0.2">
      <c r="A318" s="138" t="s">
        <v>735</v>
      </c>
      <c r="B318" s="138" t="s">
        <v>736</v>
      </c>
      <c r="C318" s="150" t="s">
        <v>742</v>
      </c>
      <c r="D318" s="138" t="s">
        <v>519</v>
      </c>
      <c r="E318" s="182">
        <v>35.700000000000003</v>
      </c>
      <c r="F318" s="139">
        <v>41</v>
      </c>
      <c r="G318" s="183">
        <v>40</v>
      </c>
      <c r="H318" s="139">
        <f t="shared" si="29"/>
        <v>1951.6</v>
      </c>
    </row>
    <row r="319" spans="1:8" x14ac:dyDescent="0.2">
      <c r="A319" s="138" t="s">
        <v>735</v>
      </c>
      <c r="B319" s="138" t="s">
        <v>736</v>
      </c>
      <c r="C319" s="150" t="s">
        <v>1358</v>
      </c>
      <c r="D319" s="138" t="s">
        <v>745</v>
      </c>
      <c r="E319" s="182">
        <v>45</v>
      </c>
      <c r="F319" s="139">
        <v>51.902999999999999</v>
      </c>
      <c r="G319" s="183">
        <v>20</v>
      </c>
      <c r="H319" s="139">
        <f t="shared" si="29"/>
        <v>1235.2913999999998</v>
      </c>
    </row>
    <row r="320" spans="1:8" x14ac:dyDescent="0.2">
      <c r="A320" s="138" t="s">
        <v>735</v>
      </c>
      <c r="B320" s="138" t="s">
        <v>736</v>
      </c>
      <c r="C320" s="150" t="s">
        <v>743</v>
      </c>
      <c r="D320" s="138" t="s">
        <v>688</v>
      </c>
      <c r="E320" s="182">
        <v>29.9</v>
      </c>
      <c r="F320" s="139">
        <f t="shared" si="28"/>
        <v>34.384999999999998</v>
      </c>
      <c r="G320" s="183">
        <v>40</v>
      </c>
      <c r="H320" s="139">
        <f t="shared" si="29"/>
        <v>1636.7259999999997</v>
      </c>
    </row>
    <row r="321" spans="1:8" x14ac:dyDescent="0.2">
      <c r="A321" s="138" t="s">
        <v>735</v>
      </c>
      <c r="B321" s="138" t="s">
        <v>736</v>
      </c>
      <c r="C321" s="150" t="s">
        <v>753</v>
      </c>
      <c r="D321" s="138" t="s">
        <v>452</v>
      </c>
      <c r="E321" s="182">
        <v>172.5</v>
      </c>
      <c r="F321" s="139">
        <f t="shared" si="28"/>
        <v>198.37499999999997</v>
      </c>
      <c r="G321" s="183">
        <v>50</v>
      </c>
      <c r="H321" s="139">
        <f t="shared" si="29"/>
        <v>11803.312499999998</v>
      </c>
    </row>
    <row r="322" spans="1:8" x14ac:dyDescent="0.2">
      <c r="A322" s="138" t="s">
        <v>735</v>
      </c>
      <c r="B322" s="138" t="s">
        <v>736</v>
      </c>
      <c r="C322" s="150" t="s">
        <v>754</v>
      </c>
      <c r="D322" s="138" t="s">
        <v>688</v>
      </c>
      <c r="E322" s="182">
        <v>245</v>
      </c>
      <c r="F322" s="139">
        <f t="shared" si="28"/>
        <v>281.75</v>
      </c>
      <c r="G322" s="183">
        <v>50</v>
      </c>
      <c r="H322" s="139">
        <f t="shared" si="29"/>
        <v>16764.125</v>
      </c>
    </row>
    <row r="323" spans="1:8" x14ac:dyDescent="0.2">
      <c r="A323" s="138" t="s">
        <v>735</v>
      </c>
      <c r="B323" s="138" t="s">
        <v>736</v>
      </c>
      <c r="C323" s="150" t="s">
        <v>755</v>
      </c>
      <c r="D323" s="138" t="s">
        <v>745</v>
      </c>
      <c r="E323" s="182">
        <v>190</v>
      </c>
      <c r="F323" s="139">
        <f t="shared" si="28"/>
        <v>218.49999999999997</v>
      </c>
      <c r="G323" s="183">
        <v>10</v>
      </c>
      <c r="H323" s="139">
        <f t="shared" si="29"/>
        <v>2600.1499999999992</v>
      </c>
    </row>
    <row r="324" spans="1:8" x14ac:dyDescent="0.2">
      <c r="A324" s="138" t="s">
        <v>735</v>
      </c>
      <c r="B324" s="138" t="s">
        <v>736</v>
      </c>
      <c r="C324" s="150" t="s">
        <v>757</v>
      </c>
      <c r="D324" s="138" t="s">
        <v>452</v>
      </c>
      <c r="E324" s="182">
        <v>10000</v>
      </c>
      <c r="F324" s="139">
        <f t="shared" si="28"/>
        <v>11500</v>
      </c>
      <c r="G324" s="183">
        <v>12</v>
      </c>
      <c r="H324" s="139">
        <f t="shared" si="29"/>
        <v>164220</v>
      </c>
    </row>
    <row r="325" spans="1:8" x14ac:dyDescent="0.2">
      <c r="A325" s="138" t="s">
        <v>735</v>
      </c>
      <c r="B325" s="138" t="s">
        <v>736</v>
      </c>
      <c r="C325" s="150" t="s">
        <v>752</v>
      </c>
      <c r="D325" s="138" t="s">
        <v>745</v>
      </c>
      <c r="E325" s="182">
        <v>900</v>
      </c>
      <c r="F325" s="139">
        <f t="shared" si="28"/>
        <v>1035</v>
      </c>
      <c r="G325" s="183">
        <v>4</v>
      </c>
      <c r="H325" s="139">
        <f t="shared" si="29"/>
        <v>4926.5999999999995</v>
      </c>
    </row>
    <row r="326" spans="1:8" x14ac:dyDescent="0.2">
      <c r="A326" s="138" t="s">
        <v>735</v>
      </c>
      <c r="B326" s="138" t="s">
        <v>736</v>
      </c>
      <c r="C326" s="150" t="s">
        <v>751</v>
      </c>
      <c r="D326" s="138" t="s">
        <v>745</v>
      </c>
      <c r="E326" s="182">
        <v>1225</v>
      </c>
      <c r="F326" s="139">
        <f t="shared" si="28"/>
        <v>1408.75</v>
      </c>
      <c r="G326" s="183">
        <v>10</v>
      </c>
      <c r="H326" s="139">
        <f t="shared" si="29"/>
        <v>16764.125</v>
      </c>
    </row>
    <row r="327" spans="1:8" x14ac:dyDescent="0.2">
      <c r="A327" s="138" t="s">
        <v>735</v>
      </c>
      <c r="B327" s="138" t="s">
        <v>736</v>
      </c>
      <c r="C327" s="150" t="s">
        <v>749</v>
      </c>
      <c r="D327" s="138" t="s">
        <v>519</v>
      </c>
      <c r="E327" s="182">
        <v>900</v>
      </c>
      <c r="F327" s="139">
        <f t="shared" si="28"/>
        <v>1035</v>
      </c>
      <c r="G327" s="183">
        <v>10</v>
      </c>
      <c r="H327" s="139">
        <f t="shared" si="29"/>
        <v>12316.5</v>
      </c>
    </row>
    <row r="328" spans="1:8" x14ac:dyDescent="0.2">
      <c r="A328" s="138" t="s">
        <v>735</v>
      </c>
      <c r="B328" s="138" t="s">
        <v>736</v>
      </c>
      <c r="C328" s="150" t="s">
        <v>750</v>
      </c>
      <c r="D328" s="138" t="s">
        <v>519</v>
      </c>
      <c r="E328" s="182">
        <v>800</v>
      </c>
      <c r="F328" s="139">
        <f t="shared" si="28"/>
        <v>919.99999999999989</v>
      </c>
      <c r="G328" s="183">
        <v>10</v>
      </c>
      <c r="H328" s="139">
        <f t="shared" si="29"/>
        <v>10947.999999999998</v>
      </c>
    </row>
    <row r="329" spans="1:8" x14ac:dyDescent="0.2">
      <c r="A329" s="138" t="s">
        <v>735</v>
      </c>
      <c r="B329" s="138" t="s">
        <v>736</v>
      </c>
      <c r="C329" s="150" t="s">
        <v>756</v>
      </c>
      <c r="D329" s="138" t="s">
        <v>519</v>
      </c>
      <c r="E329" s="182">
        <v>90</v>
      </c>
      <c r="F329" s="139">
        <f t="shared" si="28"/>
        <v>103.49999999999999</v>
      </c>
      <c r="G329" s="183">
        <v>10</v>
      </c>
      <c r="H329" s="139">
        <f t="shared" si="29"/>
        <v>1231.6499999999996</v>
      </c>
    </row>
    <row r="330" spans="1:8" x14ac:dyDescent="0.2">
      <c r="A330" s="233" t="s">
        <v>758</v>
      </c>
      <c r="B330" s="234"/>
      <c r="C330" s="234"/>
      <c r="D330" s="234"/>
      <c r="E330" s="234"/>
      <c r="F330" s="234"/>
      <c r="G330" s="235"/>
      <c r="H330" s="140">
        <f>SUM(H310:H329)-0.13</f>
        <v>550000.00215000007</v>
      </c>
    </row>
    <row r="331" spans="1:8" x14ac:dyDescent="0.2">
      <c r="A331" s="138" t="s">
        <v>759</v>
      </c>
      <c r="B331" s="138" t="s">
        <v>760</v>
      </c>
      <c r="C331" s="150" t="s">
        <v>768</v>
      </c>
      <c r="D331" s="192" t="s">
        <v>637</v>
      </c>
      <c r="E331" s="182">
        <v>150</v>
      </c>
      <c r="F331" s="139">
        <f>E331*1.15</f>
        <v>172.5</v>
      </c>
      <c r="G331" s="183">
        <v>670</v>
      </c>
      <c r="H331" s="139">
        <f>G331*F331*1.19</f>
        <v>137534.25</v>
      </c>
    </row>
    <row r="332" spans="1:8" x14ac:dyDescent="0.2">
      <c r="A332" s="138" t="s">
        <v>759</v>
      </c>
      <c r="B332" s="138" t="s">
        <v>760</v>
      </c>
      <c r="C332" s="150" t="s">
        <v>771</v>
      </c>
      <c r="D332" s="192" t="s">
        <v>541</v>
      </c>
      <c r="E332" s="182">
        <v>50</v>
      </c>
      <c r="F332" s="139">
        <f t="shared" ref="F332:F346" si="30">E332*1.15</f>
        <v>57.499999999999993</v>
      </c>
      <c r="G332" s="183">
        <v>1200</v>
      </c>
      <c r="H332" s="139">
        <f t="shared" ref="H332:H346" si="31">G332*F332*1.19</f>
        <v>82109.999999999985</v>
      </c>
    </row>
    <row r="333" spans="1:8" x14ac:dyDescent="0.2">
      <c r="A333" s="138" t="s">
        <v>759</v>
      </c>
      <c r="B333" s="138" t="s">
        <v>760</v>
      </c>
      <c r="C333" s="150" t="s">
        <v>1363</v>
      </c>
      <c r="D333" s="192" t="s">
        <v>541</v>
      </c>
      <c r="E333" s="182">
        <v>48</v>
      </c>
      <c r="F333" s="139">
        <f t="shared" si="30"/>
        <v>55.199999999999996</v>
      </c>
      <c r="G333" s="183">
        <v>120</v>
      </c>
      <c r="H333" s="139">
        <f t="shared" si="31"/>
        <v>7882.5599999999986</v>
      </c>
    </row>
    <row r="334" spans="1:8" x14ac:dyDescent="0.2">
      <c r="A334" s="138" t="s">
        <v>759</v>
      </c>
      <c r="B334" s="138" t="s">
        <v>760</v>
      </c>
      <c r="C334" s="150" t="s">
        <v>766</v>
      </c>
      <c r="D334" s="192" t="s">
        <v>541</v>
      </c>
      <c r="E334" s="182">
        <v>48</v>
      </c>
      <c r="F334" s="139">
        <f t="shared" si="30"/>
        <v>55.199999999999996</v>
      </c>
      <c r="G334" s="183">
        <v>700</v>
      </c>
      <c r="H334" s="139">
        <f t="shared" si="31"/>
        <v>45981.599999999999</v>
      </c>
    </row>
    <row r="335" spans="1:8" x14ac:dyDescent="0.2">
      <c r="A335" s="138" t="s">
        <v>759</v>
      </c>
      <c r="B335" s="138" t="s">
        <v>760</v>
      </c>
      <c r="C335" s="150" t="s">
        <v>770</v>
      </c>
      <c r="D335" s="192" t="s">
        <v>541</v>
      </c>
      <c r="E335" s="182">
        <v>85</v>
      </c>
      <c r="F335" s="139">
        <f t="shared" si="30"/>
        <v>97.749999999999986</v>
      </c>
      <c r="G335" s="183">
        <v>1000</v>
      </c>
      <c r="H335" s="139">
        <f t="shared" si="31"/>
        <v>116322.49999999997</v>
      </c>
    </row>
    <row r="336" spans="1:8" x14ac:dyDescent="0.2">
      <c r="A336" s="138" t="s">
        <v>759</v>
      </c>
      <c r="B336" s="138" t="s">
        <v>760</v>
      </c>
      <c r="C336" s="150" t="s">
        <v>763</v>
      </c>
      <c r="D336" s="192" t="s">
        <v>452</v>
      </c>
      <c r="E336" s="182">
        <v>0.21</v>
      </c>
      <c r="F336" s="139">
        <f t="shared" si="30"/>
        <v>0.24149999999999996</v>
      </c>
      <c r="G336" s="183">
        <f>12000*12</f>
        <v>144000</v>
      </c>
      <c r="H336" s="139">
        <f t="shared" si="31"/>
        <v>41383.439999999988</v>
      </c>
    </row>
    <row r="337" spans="1:8" x14ac:dyDescent="0.2">
      <c r="A337" s="138" t="s">
        <v>759</v>
      </c>
      <c r="B337" s="138" t="s">
        <v>760</v>
      </c>
      <c r="C337" s="150" t="s">
        <v>1366</v>
      </c>
      <c r="D337" s="192" t="s">
        <v>519</v>
      </c>
      <c r="E337" s="182">
        <v>3400</v>
      </c>
      <c r="F337" s="139">
        <f t="shared" si="30"/>
        <v>3909.9999999999995</v>
      </c>
      <c r="G337" s="183">
        <v>40</v>
      </c>
      <c r="H337" s="139">
        <f t="shared" si="31"/>
        <v>186115.99999999997</v>
      </c>
    </row>
    <row r="338" spans="1:8" x14ac:dyDescent="0.2">
      <c r="A338" s="138" t="s">
        <v>759</v>
      </c>
      <c r="B338" s="138" t="s">
        <v>760</v>
      </c>
      <c r="C338" s="150" t="s">
        <v>761</v>
      </c>
      <c r="D338" s="192" t="s">
        <v>533</v>
      </c>
      <c r="E338" s="182">
        <v>35</v>
      </c>
      <c r="F338" s="139">
        <v>40.243000000000002</v>
      </c>
      <c r="G338" s="183">
        <v>40</v>
      </c>
      <c r="H338" s="139">
        <f t="shared" si="31"/>
        <v>1915.5668000000001</v>
      </c>
    </row>
    <row r="339" spans="1:8" x14ac:dyDescent="0.2">
      <c r="A339" s="138" t="s">
        <v>759</v>
      </c>
      <c r="B339" s="138" t="s">
        <v>760</v>
      </c>
      <c r="C339" s="150" t="s">
        <v>769</v>
      </c>
      <c r="D339" s="192" t="s">
        <v>541</v>
      </c>
      <c r="E339" s="182">
        <v>50</v>
      </c>
      <c r="F339" s="139">
        <f t="shared" si="30"/>
        <v>57.499999999999993</v>
      </c>
      <c r="G339" s="183">
        <v>500</v>
      </c>
      <c r="H339" s="139">
        <f t="shared" si="31"/>
        <v>34212.499999999993</v>
      </c>
    </row>
    <row r="340" spans="1:8" x14ac:dyDescent="0.2">
      <c r="A340" s="138" t="s">
        <v>759</v>
      </c>
      <c r="B340" s="138" t="s">
        <v>760</v>
      </c>
      <c r="C340" s="150" t="s">
        <v>775</v>
      </c>
      <c r="D340" s="192" t="s">
        <v>452</v>
      </c>
      <c r="E340" s="182">
        <v>28</v>
      </c>
      <c r="F340" s="139">
        <f t="shared" si="30"/>
        <v>32.199999999999996</v>
      </c>
      <c r="G340" s="183">
        <v>80</v>
      </c>
      <c r="H340" s="139">
        <f t="shared" si="31"/>
        <v>3065.4399999999991</v>
      </c>
    </row>
    <row r="341" spans="1:8" x14ac:dyDescent="0.2">
      <c r="A341" s="138" t="s">
        <v>759</v>
      </c>
      <c r="B341" s="138" t="s">
        <v>760</v>
      </c>
      <c r="C341" s="150" t="s">
        <v>777</v>
      </c>
      <c r="D341" s="192" t="s">
        <v>452</v>
      </c>
      <c r="E341" s="182">
        <v>48.65</v>
      </c>
      <c r="F341" s="139">
        <f t="shared" si="30"/>
        <v>55.947499999999991</v>
      </c>
      <c r="G341" s="183">
        <v>100</v>
      </c>
      <c r="H341" s="139">
        <f t="shared" si="31"/>
        <v>6657.7524999999987</v>
      </c>
    </row>
    <row r="342" spans="1:8" x14ac:dyDescent="0.2">
      <c r="A342" s="138" t="s">
        <v>759</v>
      </c>
      <c r="B342" s="138" t="s">
        <v>760</v>
      </c>
      <c r="C342" s="150" t="s">
        <v>772</v>
      </c>
      <c r="D342" s="192" t="s">
        <v>541</v>
      </c>
      <c r="E342" s="182">
        <v>23</v>
      </c>
      <c r="F342" s="139">
        <f t="shared" si="30"/>
        <v>26.45</v>
      </c>
      <c r="G342" s="183">
        <v>355</v>
      </c>
      <c r="H342" s="139">
        <f t="shared" si="31"/>
        <v>11173.8025</v>
      </c>
    </row>
    <row r="343" spans="1:8" x14ac:dyDescent="0.2">
      <c r="A343" s="138" t="s">
        <v>759</v>
      </c>
      <c r="B343" s="138" t="s">
        <v>760</v>
      </c>
      <c r="C343" s="150" t="s">
        <v>762</v>
      </c>
      <c r="D343" s="192" t="s">
        <v>688</v>
      </c>
      <c r="E343" s="182">
        <v>16</v>
      </c>
      <c r="F343" s="139">
        <f t="shared" si="30"/>
        <v>18.399999999999999</v>
      </c>
      <c r="G343" s="183">
        <v>300</v>
      </c>
      <c r="H343" s="139">
        <f t="shared" si="31"/>
        <v>6568.7999999999993</v>
      </c>
    </row>
    <row r="344" spans="1:8" x14ac:dyDescent="0.2">
      <c r="A344" s="138" t="s">
        <v>759</v>
      </c>
      <c r="B344" s="138" t="s">
        <v>760</v>
      </c>
      <c r="C344" s="150" t="s">
        <v>764</v>
      </c>
      <c r="D344" s="192" t="s">
        <v>688</v>
      </c>
      <c r="E344" s="182">
        <v>12.99</v>
      </c>
      <c r="F344" s="139">
        <f t="shared" si="30"/>
        <v>14.938499999999999</v>
      </c>
      <c r="G344" s="183">
        <v>46</v>
      </c>
      <c r="H344" s="139">
        <f t="shared" si="31"/>
        <v>817.73348999999985</v>
      </c>
    </row>
    <row r="345" spans="1:8" x14ac:dyDescent="0.2">
      <c r="A345" s="138" t="s">
        <v>759</v>
      </c>
      <c r="B345" s="138" t="s">
        <v>760</v>
      </c>
      <c r="C345" s="150" t="s">
        <v>767</v>
      </c>
      <c r="D345" s="192" t="s">
        <v>541</v>
      </c>
      <c r="E345" s="182">
        <v>23</v>
      </c>
      <c r="F345" s="139">
        <f t="shared" si="30"/>
        <v>26.45</v>
      </c>
      <c r="G345" s="183">
        <v>600</v>
      </c>
      <c r="H345" s="139">
        <f t="shared" si="31"/>
        <v>18885.3</v>
      </c>
    </row>
    <row r="346" spans="1:8" x14ac:dyDescent="0.2">
      <c r="A346" s="138" t="s">
        <v>759</v>
      </c>
      <c r="B346" s="138" t="s">
        <v>760</v>
      </c>
      <c r="C346" s="150" t="s">
        <v>773</v>
      </c>
      <c r="D346" s="192" t="s">
        <v>452</v>
      </c>
      <c r="E346" s="182">
        <v>58</v>
      </c>
      <c r="F346" s="139">
        <f t="shared" si="30"/>
        <v>66.699999999999989</v>
      </c>
      <c r="G346" s="183">
        <v>1000</v>
      </c>
      <c r="H346" s="139">
        <f t="shared" si="31"/>
        <v>79372.999999999985</v>
      </c>
    </row>
    <row r="347" spans="1:8" x14ac:dyDescent="0.2">
      <c r="A347" s="233" t="s">
        <v>778</v>
      </c>
      <c r="B347" s="234"/>
      <c r="C347" s="234"/>
      <c r="D347" s="234"/>
      <c r="E347" s="234"/>
      <c r="F347" s="234"/>
      <c r="G347" s="235"/>
      <c r="H347" s="140">
        <f>SUM(H331:H346)-0.25</f>
        <v>779999.99528999988</v>
      </c>
    </row>
    <row r="348" spans="1:8" x14ac:dyDescent="0.2">
      <c r="A348" s="145">
        <v>37031</v>
      </c>
      <c r="B348" s="146" t="s">
        <v>779</v>
      </c>
      <c r="C348" s="146" t="s">
        <v>130</v>
      </c>
      <c r="D348" s="146"/>
      <c r="E348" s="147">
        <f>H348*G348</f>
        <v>55000</v>
      </c>
      <c r="F348" s="147">
        <f>55000/1.19</f>
        <v>46218.487394957985</v>
      </c>
      <c r="G348" s="148">
        <v>1</v>
      </c>
      <c r="H348" s="139">
        <f>G348*F348*1.19</f>
        <v>55000</v>
      </c>
    </row>
    <row r="349" spans="1:8" x14ac:dyDescent="0.2">
      <c r="A349" s="236" t="s">
        <v>780</v>
      </c>
      <c r="B349" s="236"/>
      <c r="C349" s="236"/>
      <c r="D349" s="236"/>
      <c r="E349" s="236"/>
      <c r="F349" s="236"/>
      <c r="G349" s="236"/>
      <c r="H349" s="140">
        <f>SUM(H348)</f>
        <v>55000</v>
      </c>
    </row>
    <row r="350" spans="1:8" x14ac:dyDescent="0.2">
      <c r="A350" s="145">
        <v>37761</v>
      </c>
      <c r="B350" s="146" t="s">
        <v>781</v>
      </c>
      <c r="C350" s="146" t="s">
        <v>132</v>
      </c>
      <c r="D350" s="146"/>
      <c r="E350" s="147">
        <f>H350*G350</f>
        <v>115000</v>
      </c>
      <c r="F350" s="147">
        <f>115000/1.19</f>
        <v>96638.655462184877</v>
      </c>
      <c r="G350" s="148">
        <v>1</v>
      </c>
      <c r="H350" s="139">
        <f>G350*F350*1.19</f>
        <v>115000</v>
      </c>
    </row>
    <row r="351" spans="1:8" x14ac:dyDescent="0.2">
      <c r="A351" s="233" t="s">
        <v>782</v>
      </c>
      <c r="B351" s="234"/>
      <c r="C351" s="234"/>
      <c r="D351" s="234"/>
      <c r="E351" s="234"/>
      <c r="F351" s="234"/>
      <c r="G351" s="235"/>
      <c r="H351" s="140">
        <f>SUM(H350)</f>
        <v>115000</v>
      </c>
    </row>
    <row r="352" spans="1:8" x14ac:dyDescent="0.2">
      <c r="A352" s="145">
        <v>11098</v>
      </c>
      <c r="B352" s="146" t="s">
        <v>783</v>
      </c>
      <c r="C352" s="146" t="s">
        <v>783</v>
      </c>
      <c r="D352" s="146"/>
      <c r="E352" s="147">
        <f>H352*G352</f>
        <v>150000</v>
      </c>
      <c r="F352" s="147">
        <f>150000/1.19</f>
        <v>126050.42016806723</v>
      </c>
      <c r="G352" s="148">
        <v>1</v>
      </c>
      <c r="H352" s="139">
        <f>G352*F352*1.19</f>
        <v>150000</v>
      </c>
    </row>
    <row r="353" spans="1:8" x14ac:dyDescent="0.2">
      <c r="A353" s="233" t="s">
        <v>784</v>
      </c>
      <c r="B353" s="234"/>
      <c r="C353" s="234"/>
      <c r="D353" s="234"/>
      <c r="E353" s="234"/>
      <c r="F353" s="234"/>
      <c r="G353" s="235"/>
      <c r="H353" s="140">
        <f>SUM(H352)</f>
        <v>150000</v>
      </c>
    </row>
    <row r="354" spans="1:8" ht="22.5" x14ac:dyDescent="0.2">
      <c r="A354" s="145">
        <v>37062</v>
      </c>
      <c r="B354" s="146" t="s">
        <v>785</v>
      </c>
      <c r="C354" s="146" t="s">
        <v>785</v>
      </c>
      <c r="D354" s="146"/>
      <c r="E354" s="147">
        <f>H354*G354</f>
        <v>2000</v>
      </c>
      <c r="F354" s="147">
        <f>2000/1.19</f>
        <v>1680.6722689075632</v>
      </c>
      <c r="G354" s="148">
        <v>1</v>
      </c>
      <c r="H354" s="139">
        <f>G354*F354*1.19</f>
        <v>2000</v>
      </c>
    </row>
    <row r="355" spans="1:8" x14ac:dyDescent="0.2">
      <c r="A355" s="233" t="s">
        <v>786</v>
      </c>
      <c r="B355" s="234"/>
      <c r="C355" s="234"/>
      <c r="D355" s="234"/>
      <c r="E355" s="234"/>
      <c r="F355" s="234"/>
      <c r="G355" s="235"/>
      <c r="H355" s="140">
        <f>SUM(H354)</f>
        <v>2000</v>
      </c>
    </row>
    <row r="356" spans="1:8" x14ac:dyDescent="0.2">
      <c r="A356" s="138" t="s">
        <v>787</v>
      </c>
      <c r="B356" s="138" t="s">
        <v>788</v>
      </c>
      <c r="C356" s="138" t="s">
        <v>788</v>
      </c>
      <c r="D356" s="138" t="s">
        <v>1463</v>
      </c>
      <c r="E356" s="139">
        <f t="shared" ref="E356" si="32">H356/G356</f>
        <v>120000</v>
      </c>
      <c r="F356" s="139">
        <f>120000/1.19</f>
        <v>100840.33613445378</v>
      </c>
      <c r="G356" s="138">
        <v>1</v>
      </c>
      <c r="H356" s="139">
        <f>G356*F356*1.19</f>
        <v>120000</v>
      </c>
    </row>
    <row r="357" spans="1:8" s="184" customFormat="1" x14ac:dyDescent="0.2">
      <c r="A357" s="233" t="s">
        <v>824</v>
      </c>
      <c r="B357" s="234"/>
      <c r="C357" s="234"/>
      <c r="D357" s="234"/>
      <c r="E357" s="234"/>
      <c r="F357" s="234"/>
      <c r="G357" s="235"/>
      <c r="H357" s="140">
        <f>SUM(H356:H356)</f>
        <v>120000</v>
      </c>
    </row>
    <row r="358" spans="1:8" ht="22.5" x14ac:dyDescent="0.2">
      <c r="A358" s="138">
        <v>20.11</v>
      </c>
      <c r="B358" s="146" t="s">
        <v>137</v>
      </c>
      <c r="C358" s="146" t="s">
        <v>137</v>
      </c>
      <c r="D358" s="138" t="s">
        <v>452</v>
      </c>
      <c r="E358" s="139">
        <f>H358/G358</f>
        <v>4500</v>
      </c>
      <c r="F358" s="139">
        <f>4500/1.19</f>
        <v>3781.5126050420172</v>
      </c>
      <c r="G358" s="138">
        <v>1</v>
      </c>
      <c r="H358" s="139">
        <f>G358*F358*1.19</f>
        <v>4500</v>
      </c>
    </row>
    <row r="359" spans="1:8" x14ac:dyDescent="0.2">
      <c r="A359" s="233" t="s">
        <v>1464</v>
      </c>
      <c r="B359" s="234"/>
      <c r="C359" s="234"/>
      <c r="D359" s="234"/>
      <c r="E359" s="234"/>
      <c r="F359" s="234"/>
      <c r="G359" s="235"/>
      <c r="H359" s="140">
        <f>SUM(H358)</f>
        <v>4500</v>
      </c>
    </row>
    <row r="360" spans="1:8" ht="22.5" x14ac:dyDescent="0.2">
      <c r="A360" s="138" t="s">
        <v>825</v>
      </c>
      <c r="B360" s="138" t="s">
        <v>826</v>
      </c>
      <c r="C360" s="138" t="s">
        <v>826</v>
      </c>
      <c r="D360" s="138" t="s">
        <v>452</v>
      </c>
      <c r="E360" s="139">
        <f>H360/G360</f>
        <v>75000</v>
      </c>
      <c r="F360" s="139">
        <f>75000/1.19</f>
        <v>63025.210084033613</v>
      </c>
      <c r="G360" s="138">
        <v>1</v>
      </c>
      <c r="H360" s="139">
        <f>G360*F360*1.19</f>
        <v>75000</v>
      </c>
    </row>
    <row r="361" spans="1:8" x14ac:dyDescent="0.2">
      <c r="A361" s="233" t="s">
        <v>827</v>
      </c>
      <c r="B361" s="234"/>
      <c r="C361" s="234"/>
      <c r="D361" s="234"/>
      <c r="E361" s="234"/>
      <c r="F361" s="234"/>
      <c r="G361" s="235"/>
      <c r="H361" s="140">
        <f>SUM(H360)</f>
        <v>75000</v>
      </c>
    </row>
    <row r="362" spans="1:8" x14ac:dyDescent="0.2">
      <c r="A362" s="138" t="s">
        <v>828</v>
      </c>
      <c r="B362" s="138" t="s">
        <v>829</v>
      </c>
      <c r="C362" s="138" t="s">
        <v>829</v>
      </c>
      <c r="D362" s="138" t="s">
        <v>452</v>
      </c>
      <c r="E362" s="139">
        <f>H362/G362</f>
        <v>65000</v>
      </c>
      <c r="F362" s="139">
        <f>65000/1.19</f>
        <v>54621.848739495799</v>
      </c>
      <c r="G362" s="138">
        <v>1</v>
      </c>
      <c r="H362" s="139">
        <f>G362*F362*1.19</f>
        <v>65000</v>
      </c>
    </row>
    <row r="363" spans="1:8" x14ac:dyDescent="0.2">
      <c r="A363" s="233" t="s">
        <v>830</v>
      </c>
      <c r="B363" s="234"/>
      <c r="C363" s="234"/>
      <c r="D363" s="234"/>
      <c r="E363" s="234"/>
      <c r="F363" s="234"/>
      <c r="G363" s="235"/>
      <c r="H363" s="140">
        <f>SUM(H362)</f>
        <v>65000</v>
      </c>
    </row>
    <row r="364" spans="1:8" x14ac:dyDescent="0.2">
      <c r="A364" s="138" t="s">
        <v>855</v>
      </c>
      <c r="B364" s="138" t="s">
        <v>856</v>
      </c>
      <c r="C364" s="138" t="s">
        <v>148</v>
      </c>
      <c r="D364" s="138" t="s">
        <v>452</v>
      </c>
      <c r="E364" s="139">
        <f>H364/G364</f>
        <v>55000</v>
      </c>
      <c r="F364" s="139">
        <f>55000/1.19</f>
        <v>46218.487394957985</v>
      </c>
      <c r="G364" s="138">
        <v>1</v>
      </c>
      <c r="H364" s="139">
        <f>G364*F364*1.19</f>
        <v>55000</v>
      </c>
    </row>
    <row r="365" spans="1:8" x14ac:dyDescent="0.2">
      <c r="A365" s="233" t="s">
        <v>857</v>
      </c>
      <c r="B365" s="234"/>
      <c r="C365" s="234"/>
      <c r="D365" s="234"/>
      <c r="E365" s="234"/>
      <c r="F365" s="234"/>
      <c r="G365" s="235"/>
      <c r="H365" s="140">
        <f>SUM(H364)</f>
        <v>55000</v>
      </c>
    </row>
    <row r="366" spans="1:8" x14ac:dyDescent="0.2">
      <c r="A366" s="138" t="s">
        <v>831</v>
      </c>
      <c r="B366" s="138" t="s">
        <v>386</v>
      </c>
      <c r="C366" s="138" t="s">
        <v>386</v>
      </c>
      <c r="D366" s="138" t="s">
        <v>452</v>
      </c>
      <c r="E366" s="139">
        <f>H366/G366</f>
        <v>15000</v>
      </c>
      <c r="F366" s="139">
        <f>15000/1.19</f>
        <v>12605.042016806723</v>
      </c>
      <c r="G366" s="138">
        <v>1</v>
      </c>
      <c r="H366" s="139">
        <f>G366*F366*1.19</f>
        <v>15000</v>
      </c>
    </row>
    <row r="367" spans="1:8" x14ac:dyDescent="0.2">
      <c r="A367" s="233" t="s">
        <v>832</v>
      </c>
      <c r="B367" s="234"/>
      <c r="C367" s="234"/>
      <c r="D367" s="234"/>
      <c r="E367" s="234"/>
      <c r="F367" s="234"/>
      <c r="G367" s="235"/>
      <c r="H367" s="140">
        <f>SUM(H366)</f>
        <v>15000</v>
      </c>
    </row>
    <row r="368" spans="1:8" x14ac:dyDescent="0.2">
      <c r="A368" s="138" t="s">
        <v>833</v>
      </c>
      <c r="B368" s="138" t="s">
        <v>834</v>
      </c>
      <c r="C368" s="138" t="s">
        <v>138</v>
      </c>
      <c r="D368" s="138" t="s">
        <v>1463</v>
      </c>
      <c r="E368" s="143">
        <f>G368*H368</f>
        <v>29750</v>
      </c>
      <c r="F368" s="143">
        <v>25000</v>
      </c>
      <c r="G368" s="154">
        <v>1</v>
      </c>
      <c r="H368" s="149">
        <f>G368*F368*1.19</f>
        <v>29750</v>
      </c>
    </row>
    <row r="369" spans="1:8" x14ac:dyDescent="0.2">
      <c r="A369" s="138" t="s">
        <v>833</v>
      </c>
      <c r="B369" s="138" t="s">
        <v>834</v>
      </c>
      <c r="C369" s="138" t="s">
        <v>140</v>
      </c>
      <c r="D369" s="138" t="s">
        <v>1463</v>
      </c>
      <c r="E369" s="143">
        <f>H369/12</f>
        <v>4581.5</v>
      </c>
      <c r="F369" s="143">
        <v>46200</v>
      </c>
      <c r="G369" s="154">
        <v>1</v>
      </c>
      <c r="H369" s="149">
        <f t="shared" ref="H369:H372" si="33">G369*F369*1.19</f>
        <v>54978</v>
      </c>
    </row>
    <row r="370" spans="1:8" x14ac:dyDescent="0.2">
      <c r="A370" s="138" t="s">
        <v>833</v>
      </c>
      <c r="B370" s="138" t="s">
        <v>834</v>
      </c>
      <c r="C370" s="138" t="s">
        <v>141</v>
      </c>
      <c r="D370" s="138" t="s">
        <v>1463</v>
      </c>
      <c r="E370" s="143">
        <f t="shared" ref="E370:E372" si="34">H370/12</f>
        <v>5360.1665833333327</v>
      </c>
      <c r="F370" s="143">
        <v>54052.1</v>
      </c>
      <c r="G370" s="148">
        <v>1</v>
      </c>
      <c r="H370" s="149">
        <f t="shared" si="33"/>
        <v>64321.998999999996</v>
      </c>
    </row>
    <row r="371" spans="1:8" x14ac:dyDescent="0.2">
      <c r="A371" s="138" t="s">
        <v>833</v>
      </c>
      <c r="B371" s="138" t="s">
        <v>834</v>
      </c>
      <c r="C371" s="138" t="s">
        <v>142</v>
      </c>
      <c r="D371" s="138" t="s">
        <v>452</v>
      </c>
      <c r="E371" s="143">
        <f>H371/G371</f>
        <v>1666</v>
      </c>
      <c r="F371" s="143">
        <v>1400</v>
      </c>
      <c r="G371" s="155">
        <v>1</v>
      </c>
      <c r="H371" s="149">
        <f t="shared" si="33"/>
        <v>1666</v>
      </c>
    </row>
    <row r="372" spans="1:8" x14ac:dyDescent="0.2">
      <c r="A372" s="138" t="s">
        <v>833</v>
      </c>
      <c r="B372" s="138" t="s">
        <v>834</v>
      </c>
      <c r="C372" s="138" t="s">
        <v>144</v>
      </c>
      <c r="D372" s="138" t="s">
        <v>1463</v>
      </c>
      <c r="E372" s="143">
        <f t="shared" si="34"/>
        <v>357</v>
      </c>
      <c r="F372" s="143">
        <v>3600</v>
      </c>
      <c r="G372" s="155">
        <v>1</v>
      </c>
      <c r="H372" s="149">
        <f t="shared" si="33"/>
        <v>4284</v>
      </c>
    </row>
    <row r="373" spans="1:8" x14ac:dyDescent="0.2">
      <c r="A373" s="233" t="s">
        <v>835</v>
      </c>
      <c r="B373" s="234"/>
      <c r="C373" s="234"/>
      <c r="D373" s="234"/>
      <c r="E373" s="234"/>
      <c r="F373" s="234"/>
      <c r="G373" s="235"/>
      <c r="H373" s="140">
        <f>SUM(H368:H372)</f>
        <v>154999.99900000001</v>
      </c>
    </row>
    <row r="374" spans="1:8" hidden="1" x14ac:dyDescent="0.2">
      <c r="A374" s="138" t="s">
        <v>836</v>
      </c>
      <c r="B374" s="146" t="s">
        <v>837</v>
      </c>
      <c r="C374" s="138" t="s">
        <v>466</v>
      </c>
      <c r="D374" s="138" t="s">
        <v>452</v>
      </c>
      <c r="E374" s="147"/>
      <c r="F374" s="147"/>
      <c r="G374" s="148">
        <v>1</v>
      </c>
      <c r="H374" s="149"/>
    </row>
    <row r="375" spans="1:8" hidden="1" x14ac:dyDescent="0.2">
      <c r="A375" s="138" t="s">
        <v>836</v>
      </c>
      <c r="B375" s="146" t="s">
        <v>837</v>
      </c>
      <c r="C375" s="138" t="s">
        <v>475</v>
      </c>
      <c r="D375" s="138" t="s">
        <v>452</v>
      </c>
      <c r="E375" s="147"/>
      <c r="F375" s="147"/>
      <c r="G375" s="148">
        <v>1</v>
      </c>
      <c r="H375" s="149"/>
    </row>
    <row r="376" spans="1:8" hidden="1" x14ac:dyDescent="0.2">
      <c r="A376" s="236" t="s">
        <v>838</v>
      </c>
      <c r="B376" s="236"/>
      <c r="C376" s="236"/>
      <c r="D376" s="236"/>
      <c r="E376" s="236"/>
      <c r="F376" s="236"/>
      <c r="G376" s="236"/>
      <c r="H376" s="156">
        <f>SUM(H374:H375)</f>
        <v>0</v>
      </c>
    </row>
    <row r="377" spans="1:8" hidden="1" x14ac:dyDescent="0.2">
      <c r="A377" s="138" t="s">
        <v>839</v>
      </c>
      <c r="B377" s="146" t="s">
        <v>840</v>
      </c>
      <c r="C377" s="138" t="s">
        <v>503</v>
      </c>
      <c r="D377" s="138" t="s">
        <v>452</v>
      </c>
      <c r="E377" s="147"/>
      <c r="F377" s="147"/>
      <c r="G377" s="138">
        <v>1</v>
      </c>
      <c r="H377" s="149"/>
    </row>
    <row r="378" spans="1:8" hidden="1" x14ac:dyDescent="0.2">
      <c r="A378" s="236" t="s">
        <v>841</v>
      </c>
      <c r="B378" s="236"/>
      <c r="C378" s="236"/>
      <c r="D378" s="236"/>
      <c r="E378" s="236"/>
      <c r="F378" s="236"/>
      <c r="G378" s="236"/>
      <c r="H378" s="140">
        <f>SUM(H377)</f>
        <v>0</v>
      </c>
    </row>
    <row r="379" spans="1:8" ht="22.5" x14ac:dyDescent="0.2">
      <c r="A379" s="138" t="s">
        <v>842</v>
      </c>
      <c r="B379" s="138" t="s">
        <v>843</v>
      </c>
      <c r="C379" s="138" t="s">
        <v>1466</v>
      </c>
      <c r="D379" s="138" t="s">
        <v>452</v>
      </c>
      <c r="E379" s="143">
        <f>G379*H379</f>
        <v>41072000</v>
      </c>
      <c r="F379" s="143">
        <f>41072000/1.19</f>
        <v>34514285.714285716</v>
      </c>
      <c r="G379" s="155">
        <v>1</v>
      </c>
      <c r="H379" s="149">
        <f>G379*F379*1.19</f>
        <v>41072000</v>
      </c>
    </row>
    <row r="380" spans="1:8" x14ac:dyDescent="0.2">
      <c r="A380" s="233" t="s">
        <v>844</v>
      </c>
      <c r="B380" s="234"/>
      <c r="C380" s="234"/>
      <c r="D380" s="234"/>
      <c r="E380" s="234"/>
      <c r="F380" s="234"/>
      <c r="G380" s="235"/>
      <c r="H380" s="140">
        <f>SUM(H379)</f>
        <v>41072000</v>
      </c>
    </row>
    <row r="383" spans="1:8" x14ac:dyDescent="0.2">
      <c r="A383" s="159" t="s">
        <v>1465</v>
      </c>
      <c r="H383" s="158">
        <f>H373+H367+H365+H363+H361+H357+H355+H353+H351+H349+H347+H330+H309+H275+H211+H209+H207+H188+H110+H105+H75+H72+H70+H57+H26+H359</f>
        <v>44829763.998808332</v>
      </c>
    </row>
    <row r="385" spans="2:3" x14ac:dyDescent="0.2">
      <c r="B385" s="157" t="s">
        <v>845</v>
      </c>
    </row>
    <row r="386" spans="2:3" hidden="1" x14ac:dyDescent="0.2">
      <c r="B386" s="161" t="str">
        <f>A378</f>
        <v xml:space="preserve">TOTAL ART. 71.01.01 Mijloace fixe </v>
      </c>
      <c r="C386" s="160">
        <f>H378*1.19</f>
        <v>0</v>
      </c>
    </row>
    <row r="387" spans="2:3" hidden="1" x14ac:dyDescent="0.2">
      <c r="B387" s="161" t="str">
        <f>A376</f>
        <v xml:space="preserve">TOTAL ART. 71.01.30 ALTE ACTIVE FIXE </v>
      </c>
      <c r="C387" s="160">
        <f>H376*1.19</f>
        <v>0</v>
      </c>
    </row>
    <row r="388" spans="2:3" x14ac:dyDescent="0.2">
      <c r="B388" s="161" t="str">
        <f>A380</f>
        <v>TOTAL ART. 70.01.02 Masini si echipamente medicale</v>
      </c>
      <c r="C388" s="162">
        <f>H380</f>
        <v>41072000</v>
      </c>
    </row>
  </sheetData>
  <mergeCells count="29">
    <mergeCell ref="A105:G105"/>
    <mergeCell ref="A365:G365"/>
    <mergeCell ref="A26:G26"/>
    <mergeCell ref="A57:G57"/>
    <mergeCell ref="A70:G70"/>
    <mergeCell ref="A72:G72"/>
    <mergeCell ref="A75:G75"/>
    <mergeCell ref="A353:G353"/>
    <mergeCell ref="A110:G110"/>
    <mergeCell ref="A188:G188"/>
    <mergeCell ref="A207:G207"/>
    <mergeCell ref="A209:G209"/>
    <mergeCell ref="A211:G211"/>
    <mergeCell ref="A275:G275"/>
    <mergeCell ref="A309:G309"/>
    <mergeCell ref="A330:G330"/>
    <mergeCell ref="A347:G347"/>
    <mergeCell ref="A349:G349"/>
    <mergeCell ref="A351:G351"/>
    <mergeCell ref="A376:G376"/>
    <mergeCell ref="A378:G378"/>
    <mergeCell ref="A380:G380"/>
    <mergeCell ref="A355:G355"/>
    <mergeCell ref="A357:G357"/>
    <mergeCell ref="A361:G361"/>
    <mergeCell ref="A363:G363"/>
    <mergeCell ref="A367:G367"/>
    <mergeCell ref="A373:G373"/>
    <mergeCell ref="A359:G359"/>
  </mergeCells>
  <phoneticPr fontId="34" type="noConversion"/>
  <pageMargins left="0.7" right="0.7" top="0.75" bottom="0.75" header="0.3" footer="0.3"/>
  <pageSetup paperSize="9" scale="46" fitToHeight="0"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22C4E9-8D95-42C7-9886-DD57DCD66182}">
  <sheetPr>
    <pageSetUpPr fitToPage="1"/>
  </sheetPr>
  <dimension ref="A1:C27"/>
  <sheetViews>
    <sheetView workbookViewId="0">
      <selection activeCell="A2" sqref="A2"/>
    </sheetView>
  </sheetViews>
  <sheetFormatPr defaultRowHeight="15" x14ac:dyDescent="0.25"/>
  <cols>
    <col min="1" max="1" width="80" customWidth="1"/>
    <col min="2" max="2" width="15.140625" customWidth="1"/>
    <col min="3" max="3" width="17.5703125" customWidth="1"/>
    <col min="257" max="257" width="80" customWidth="1"/>
    <col min="258" max="258" width="0" hidden="1" customWidth="1"/>
    <col min="259" max="259" width="17.5703125" customWidth="1"/>
    <col min="513" max="513" width="80" customWidth="1"/>
    <col min="514" max="514" width="0" hidden="1" customWidth="1"/>
    <col min="515" max="515" width="17.5703125" customWidth="1"/>
    <col min="769" max="769" width="80" customWidth="1"/>
    <col min="770" max="770" width="0" hidden="1" customWidth="1"/>
    <col min="771" max="771" width="17.5703125" customWidth="1"/>
    <col min="1025" max="1025" width="80" customWidth="1"/>
    <col min="1026" max="1026" width="0" hidden="1" customWidth="1"/>
    <col min="1027" max="1027" width="17.5703125" customWidth="1"/>
    <col min="1281" max="1281" width="80" customWidth="1"/>
    <col min="1282" max="1282" width="0" hidden="1" customWidth="1"/>
    <col min="1283" max="1283" width="17.5703125" customWidth="1"/>
    <col min="1537" max="1537" width="80" customWidth="1"/>
    <col min="1538" max="1538" width="0" hidden="1" customWidth="1"/>
    <col min="1539" max="1539" width="17.5703125" customWidth="1"/>
    <col min="1793" max="1793" width="80" customWidth="1"/>
    <col min="1794" max="1794" width="0" hidden="1" customWidth="1"/>
    <col min="1795" max="1795" width="17.5703125" customWidth="1"/>
    <col min="2049" max="2049" width="80" customWidth="1"/>
    <col min="2050" max="2050" width="0" hidden="1" customWidth="1"/>
    <col min="2051" max="2051" width="17.5703125" customWidth="1"/>
    <col min="2305" max="2305" width="80" customWidth="1"/>
    <col min="2306" max="2306" width="0" hidden="1" customWidth="1"/>
    <col min="2307" max="2307" width="17.5703125" customWidth="1"/>
    <col min="2561" max="2561" width="80" customWidth="1"/>
    <col min="2562" max="2562" width="0" hidden="1" customWidth="1"/>
    <col min="2563" max="2563" width="17.5703125" customWidth="1"/>
    <col min="2817" max="2817" width="80" customWidth="1"/>
    <col min="2818" max="2818" width="0" hidden="1" customWidth="1"/>
    <col min="2819" max="2819" width="17.5703125" customWidth="1"/>
    <col min="3073" max="3073" width="80" customWidth="1"/>
    <col min="3074" max="3074" width="0" hidden="1" customWidth="1"/>
    <col min="3075" max="3075" width="17.5703125" customWidth="1"/>
    <col min="3329" max="3329" width="80" customWidth="1"/>
    <col min="3330" max="3330" width="0" hidden="1" customWidth="1"/>
    <col min="3331" max="3331" width="17.5703125" customWidth="1"/>
    <col min="3585" max="3585" width="80" customWidth="1"/>
    <col min="3586" max="3586" width="0" hidden="1" customWidth="1"/>
    <col min="3587" max="3587" width="17.5703125" customWidth="1"/>
    <col min="3841" max="3841" width="80" customWidth="1"/>
    <col min="3842" max="3842" width="0" hidden="1" customWidth="1"/>
    <col min="3843" max="3843" width="17.5703125" customWidth="1"/>
    <col min="4097" max="4097" width="80" customWidth="1"/>
    <col min="4098" max="4098" width="0" hidden="1" customWidth="1"/>
    <col min="4099" max="4099" width="17.5703125" customWidth="1"/>
    <col min="4353" max="4353" width="80" customWidth="1"/>
    <col min="4354" max="4354" width="0" hidden="1" customWidth="1"/>
    <col min="4355" max="4355" width="17.5703125" customWidth="1"/>
    <col min="4609" max="4609" width="80" customWidth="1"/>
    <col min="4610" max="4610" width="0" hidden="1" customWidth="1"/>
    <col min="4611" max="4611" width="17.5703125" customWidth="1"/>
    <col min="4865" max="4865" width="80" customWidth="1"/>
    <col min="4866" max="4866" width="0" hidden="1" customWidth="1"/>
    <col min="4867" max="4867" width="17.5703125" customWidth="1"/>
    <col min="5121" max="5121" width="80" customWidth="1"/>
    <col min="5122" max="5122" width="0" hidden="1" customWidth="1"/>
    <col min="5123" max="5123" width="17.5703125" customWidth="1"/>
    <col min="5377" max="5377" width="80" customWidth="1"/>
    <col min="5378" max="5378" width="0" hidden="1" customWidth="1"/>
    <col min="5379" max="5379" width="17.5703125" customWidth="1"/>
    <col min="5633" max="5633" width="80" customWidth="1"/>
    <col min="5634" max="5634" width="0" hidden="1" customWidth="1"/>
    <col min="5635" max="5635" width="17.5703125" customWidth="1"/>
    <col min="5889" max="5889" width="80" customWidth="1"/>
    <col min="5890" max="5890" width="0" hidden="1" customWidth="1"/>
    <col min="5891" max="5891" width="17.5703125" customWidth="1"/>
    <col min="6145" max="6145" width="80" customWidth="1"/>
    <col min="6146" max="6146" width="0" hidden="1" customWidth="1"/>
    <col min="6147" max="6147" width="17.5703125" customWidth="1"/>
    <col min="6401" max="6401" width="80" customWidth="1"/>
    <col min="6402" max="6402" width="0" hidden="1" customWidth="1"/>
    <col min="6403" max="6403" width="17.5703125" customWidth="1"/>
    <col min="6657" max="6657" width="80" customWidth="1"/>
    <col min="6658" max="6658" width="0" hidden="1" customWidth="1"/>
    <col min="6659" max="6659" width="17.5703125" customWidth="1"/>
    <col min="6913" max="6913" width="80" customWidth="1"/>
    <col min="6914" max="6914" width="0" hidden="1" customWidth="1"/>
    <col min="6915" max="6915" width="17.5703125" customWidth="1"/>
    <col min="7169" max="7169" width="80" customWidth="1"/>
    <col min="7170" max="7170" width="0" hidden="1" customWidth="1"/>
    <col min="7171" max="7171" width="17.5703125" customWidth="1"/>
    <col min="7425" max="7425" width="80" customWidth="1"/>
    <col min="7426" max="7426" width="0" hidden="1" customWidth="1"/>
    <col min="7427" max="7427" width="17.5703125" customWidth="1"/>
    <col min="7681" max="7681" width="80" customWidth="1"/>
    <col min="7682" max="7682" width="0" hidden="1" customWidth="1"/>
    <col min="7683" max="7683" width="17.5703125" customWidth="1"/>
    <col min="7937" max="7937" width="80" customWidth="1"/>
    <col min="7938" max="7938" width="0" hidden="1" customWidth="1"/>
    <col min="7939" max="7939" width="17.5703125" customWidth="1"/>
    <col min="8193" max="8193" width="80" customWidth="1"/>
    <col min="8194" max="8194" width="0" hidden="1" customWidth="1"/>
    <col min="8195" max="8195" width="17.5703125" customWidth="1"/>
    <col min="8449" max="8449" width="80" customWidth="1"/>
    <col min="8450" max="8450" width="0" hidden="1" customWidth="1"/>
    <col min="8451" max="8451" width="17.5703125" customWidth="1"/>
    <col min="8705" max="8705" width="80" customWidth="1"/>
    <col min="8706" max="8706" width="0" hidden="1" customWidth="1"/>
    <col min="8707" max="8707" width="17.5703125" customWidth="1"/>
    <col min="8961" max="8961" width="80" customWidth="1"/>
    <col min="8962" max="8962" width="0" hidden="1" customWidth="1"/>
    <col min="8963" max="8963" width="17.5703125" customWidth="1"/>
    <col min="9217" max="9217" width="80" customWidth="1"/>
    <col min="9218" max="9218" width="0" hidden="1" customWidth="1"/>
    <col min="9219" max="9219" width="17.5703125" customWidth="1"/>
    <col min="9473" max="9473" width="80" customWidth="1"/>
    <col min="9474" max="9474" width="0" hidden="1" customWidth="1"/>
    <col min="9475" max="9475" width="17.5703125" customWidth="1"/>
    <col min="9729" max="9729" width="80" customWidth="1"/>
    <col min="9730" max="9730" width="0" hidden="1" customWidth="1"/>
    <col min="9731" max="9731" width="17.5703125" customWidth="1"/>
    <col min="9985" max="9985" width="80" customWidth="1"/>
    <col min="9986" max="9986" width="0" hidden="1" customWidth="1"/>
    <col min="9987" max="9987" width="17.5703125" customWidth="1"/>
    <col min="10241" max="10241" width="80" customWidth="1"/>
    <col min="10242" max="10242" width="0" hidden="1" customWidth="1"/>
    <col min="10243" max="10243" width="17.5703125" customWidth="1"/>
    <col min="10497" max="10497" width="80" customWidth="1"/>
    <col min="10498" max="10498" width="0" hidden="1" customWidth="1"/>
    <col min="10499" max="10499" width="17.5703125" customWidth="1"/>
    <col min="10753" max="10753" width="80" customWidth="1"/>
    <col min="10754" max="10754" width="0" hidden="1" customWidth="1"/>
    <col min="10755" max="10755" width="17.5703125" customWidth="1"/>
    <col min="11009" max="11009" width="80" customWidth="1"/>
    <col min="11010" max="11010" width="0" hidden="1" customWidth="1"/>
    <col min="11011" max="11011" width="17.5703125" customWidth="1"/>
    <col min="11265" max="11265" width="80" customWidth="1"/>
    <col min="11266" max="11266" width="0" hidden="1" customWidth="1"/>
    <col min="11267" max="11267" width="17.5703125" customWidth="1"/>
    <col min="11521" max="11521" width="80" customWidth="1"/>
    <col min="11522" max="11522" width="0" hidden="1" customWidth="1"/>
    <col min="11523" max="11523" width="17.5703125" customWidth="1"/>
    <col min="11777" max="11777" width="80" customWidth="1"/>
    <col min="11778" max="11778" width="0" hidden="1" customWidth="1"/>
    <col min="11779" max="11779" width="17.5703125" customWidth="1"/>
    <col min="12033" max="12033" width="80" customWidth="1"/>
    <col min="12034" max="12034" width="0" hidden="1" customWidth="1"/>
    <col min="12035" max="12035" width="17.5703125" customWidth="1"/>
    <col min="12289" max="12289" width="80" customWidth="1"/>
    <col min="12290" max="12290" width="0" hidden="1" customWidth="1"/>
    <col min="12291" max="12291" width="17.5703125" customWidth="1"/>
    <col min="12545" max="12545" width="80" customWidth="1"/>
    <col min="12546" max="12546" width="0" hidden="1" customWidth="1"/>
    <col min="12547" max="12547" width="17.5703125" customWidth="1"/>
    <col min="12801" max="12801" width="80" customWidth="1"/>
    <col min="12802" max="12802" width="0" hidden="1" customWidth="1"/>
    <col min="12803" max="12803" width="17.5703125" customWidth="1"/>
    <col min="13057" max="13057" width="80" customWidth="1"/>
    <col min="13058" max="13058" width="0" hidden="1" customWidth="1"/>
    <col min="13059" max="13059" width="17.5703125" customWidth="1"/>
    <col min="13313" max="13313" width="80" customWidth="1"/>
    <col min="13314" max="13314" width="0" hidden="1" customWidth="1"/>
    <col min="13315" max="13315" width="17.5703125" customWidth="1"/>
    <col min="13569" max="13569" width="80" customWidth="1"/>
    <col min="13570" max="13570" width="0" hidden="1" customWidth="1"/>
    <col min="13571" max="13571" width="17.5703125" customWidth="1"/>
    <col min="13825" max="13825" width="80" customWidth="1"/>
    <col min="13826" max="13826" width="0" hidden="1" customWidth="1"/>
    <col min="13827" max="13827" width="17.5703125" customWidth="1"/>
    <col min="14081" max="14081" width="80" customWidth="1"/>
    <col min="14082" max="14082" width="0" hidden="1" customWidth="1"/>
    <col min="14083" max="14083" width="17.5703125" customWidth="1"/>
    <col min="14337" max="14337" width="80" customWidth="1"/>
    <col min="14338" max="14338" width="0" hidden="1" customWidth="1"/>
    <col min="14339" max="14339" width="17.5703125" customWidth="1"/>
    <col min="14593" max="14593" width="80" customWidth="1"/>
    <col min="14594" max="14594" width="0" hidden="1" customWidth="1"/>
    <col min="14595" max="14595" width="17.5703125" customWidth="1"/>
    <col min="14849" max="14849" width="80" customWidth="1"/>
    <col min="14850" max="14850" width="0" hidden="1" customWidth="1"/>
    <col min="14851" max="14851" width="17.5703125" customWidth="1"/>
    <col min="15105" max="15105" width="80" customWidth="1"/>
    <col min="15106" max="15106" width="0" hidden="1" customWidth="1"/>
    <col min="15107" max="15107" width="17.5703125" customWidth="1"/>
    <col min="15361" max="15361" width="80" customWidth="1"/>
    <col min="15362" max="15362" width="0" hidden="1" customWidth="1"/>
    <col min="15363" max="15363" width="17.5703125" customWidth="1"/>
    <col min="15617" max="15617" width="80" customWidth="1"/>
    <col min="15618" max="15618" width="0" hidden="1" customWidth="1"/>
    <col min="15619" max="15619" width="17.5703125" customWidth="1"/>
    <col min="15873" max="15873" width="80" customWidth="1"/>
    <col min="15874" max="15874" width="0" hidden="1" customWidth="1"/>
    <col min="15875" max="15875" width="17.5703125" customWidth="1"/>
    <col min="16129" max="16129" width="80" customWidth="1"/>
    <col min="16130" max="16130" width="0" hidden="1" customWidth="1"/>
    <col min="16131" max="16131" width="17.5703125" customWidth="1"/>
  </cols>
  <sheetData>
    <row r="1" spans="1:3" ht="30" x14ac:dyDescent="0.25">
      <c r="A1" s="135" t="s">
        <v>858</v>
      </c>
      <c r="B1" s="135" t="s">
        <v>859</v>
      </c>
      <c r="C1" s="135" t="s">
        <v>860</v>
      </c>
    </row>
    <row r="2" spans="1:3" x14ac:dyDescent="0.25">
      <c r="A2" s="25" t="str">
        <f>'[1]iesiri 2023'!A64:F64</f>
        <v>TOTAL ART. 20.01.01 FURNITURI DE BIROU</v>
      </c>
      <c r="B2" s="12">
        <f>Foaie1!H26</f>
        <v>74999.999899999981</v>
      </c>
      <c r="C2" s="128">
        <f>B2*1.19</f>
        <v>89249.999880999967</v>
      </c>
    </row>
    <row r="3" spans="1:3" x14ac:dyDescent="0.25">
      <c r="A3" s="25" t="str">
        <f>'[1]iesiri 2023'!A111:F111</f>
        <v>TOTAL ART. 20.01.02 MATERIALE PENTRU CURATENIE</v>
      </c>
      <c r="B3" s="12">
        <f>Foaie1!H57</f>
        <v>349999.99535999994</v>
      </c>
      <c r="C3" s="128">
        <f t="shared" ref="C3:C26" si="0">B3*1.19</f>
        <v>416499.99447839992</v>
      </c>
    </row>
    <row r="4" spans="1:3" x14ac:dyDescent="0.25">
      <c r="A4" s="25" t="str">
        <f>'[1]iesiri 2023'!A127:F127</f>
        <v>TOTAL ART. 20.01.03 INCALZIT, ILUMINAT SI FORTA MOTRICA</v>
      </c>
      <c r="B4" s="12">
        <f>Foaie1!H70</f>
        <v>4270000.0045049991</v>
      </c>
      <c r="C4" s="128">
        <f t="shared" si="0"/>
        <v>5081300.0053609489</v>
      </c>
    </row>
    <row r="5" spans="1:3" x14ac:dyDescent="0.25">
      <c r="A5" s="25" t="str">
        <f>'[1]iesiri 2023'!A129:F129</f>
        <v>TOTAL ART. 20.01.04 APA, CANAL SI SALUBRITATE</v>
      </c>
      <c r="B5" s="12">
        <f>Foaie1!H72</f>
        <v>750000.0027999999</v>
      </c>
      <c r="C5" s="128">
        <f t="shared" si="0"/>
        <v>892500.00333199988</v>
      </c>
    </row>
    <row r="6" spans="1:3" x14ac:dyDescent="0.25">
      <c r="A6" s="25" t="str">
        <f>'[1]iesiri 2023'!A132:F132</f>
        <v>TOTAL ART. 20.01.05 CARBURANTI SI LUBRIFIANTI</v>
      </c>
      <c r="B6" s="12">
        <f>Foaie1!H75</f>
        <v>25000.001949999998</v>
      </c>
      <c r="C6" s="128">
        <f t="shared" si="0"/>
        <v>29750.002320499996</v>
      </c>
    </row>
    <row r="7" spans="1:3" x14ac:dyDescent="0.25">
      <c r="A7" s="25" t="str">
        <f>'[1]iesiri 2023'!A185:F185</f>
        <v>TOTAL ART. 20.01.06 PIESE DE SCHIMB</v>
      </c>
      <c r="B7" s="12">
        <f>Foaie1!H105</f>
        <v>360000.00283999991</v>
      </c>
      <c r="C7" s="128">
        <f t="shared" si="0"/>
        <v>428400.00337959989</v>
      </c>
    </row>
    <row r="8" spans="1:3" x14ac:dyDescent="0.25">
      <c r="A8" s="25" t="str">
        <f>'[1]iesiri 2023'!A190:F190</f>
        <v>TOTAL ART. 20.01.08 POSTA, TELECOMUNICATII, RADIO, TV SI INTERNET</v>
      </c>
      <c r="B8" s="12">
        <f>Foaie1!H110</f>
        <v>115000.00159999999</v>
      </c>
      <c r="C8" s="128">
        <f t="shared" si="0"/>
        <v>136850.00190399998</v>
      </c>
    </row>
    <row r="9" spans="1:3" x14ac:dyDescent="0.25">
      <c r="A9" s="25" t="str">
        <f>'[1]iesiri 2023'!A269:F269</f>
        <v>TOTAL ART. 20.01.09 MATERIALE SI PRESTARI DE SERVICII CU CARACTER FUNCTIONAL</v>
      </c>
      <c r="B9" s="12">
        <f>Foaie1!H188</f>
        <v>7850000.0015799999</v>
      </c>
      <c r="C9" s="128">
        <f t="shared" si="0"/>
        <v>9341500.0018801987</v>
      </c>
    </row>
    <row r="10" spans="1:3" x14ac:dyDescent="0.25">
      <c r="A10" s="25" t="str">
        <f>'[1]iesiri 2023'!A294:F294</f>
        <v>TOTAL ART. 20.01.30 ALTE BUNURI SI SERVICII PENTRU INTRETINERE SI FUNCTIONARE</v>
      </c>
      <c r="B10" s="12">
        <f>Foaie1!H207</f>
        <v>7280000.0013999995</v>
      </c>
      <c r="C10" s="128">
        <f t="shared" si="0"/>
        <v>8663200.0016659983</v>
      </c>
    </row>
    <row r="11" spans="1:3" x14ac:dyDescent="0.25">
      <c r="A11" s="25" t="str">
        <f>'[1]iesiri 2023'!A358:F358</f>
        <v>TOTAL ART. 20.02 REPARATII CURENTE</v>
      </c>
      <c r="B11" s="12">
        <f>Foaie1!H209</f>
        <v>549999.99529999995</v>
      </c>
      <c r="C11" s="128">
        <f t="shared" si="0"/>
        <v>654499.9944069999</v>
      </c>
    </row>
    <row r="12" spans="1:3" x14ac:dyDescent="0.25">
      <c r="A12" s="25" t="str">
        <f>'[1]iesiri 2023'!A360:F360</f>
        <v>TOTAL ART. 20.03.01 Hrana pentru oameni</v>
      </c>
      <c r="B12" s="12">
        <f>Foaie1!H211</f>
        <v>1850000</v>
      </c>
      <c r="C12" s="128">
        <f>B12</f>
        <v>1850000</v>
      </c>
    </row>
    <row r="13" spans="1:3" x14ac:dyDescent="0.25">
      <c r="A13" s="25" t="str">
        <f>'[1]iesiri 2023'!A417:F417</f>
        <v>TOTAL ART. 20.04.01 MEDICAMENTE</v>
      </c>
      <c r="B13" s="12">
        <f>Foaie1!H275</f>
        <v>10584999.995299999</v>
      </c>
      <c r="C13" s="128">
        <f>B13*1.09</f>
        <v>11537649.994876999</v>
      </c>
    </row>
    <row r="14" spans="1:3" x14ac:dyDescent="0.25">
      <c r="A14" s="25" t="str">
        <f>'[1]iesiri 2023'!A677:F677</f>
        <v>TOTAL ART. 20.04.02 MATERIALE SANITARE</v>
      </c>
      <c r="B14" s="12">
        <f>Foaie1!H309</f>
        <v>8628263.9998333305</v>
      </c>
      <c r="C14" s="128">
        <f t="shared" si="0"/>
        <v>10267634.159801662</v>
      </c>
    </row>
    <row r="15" spans="1:3" x14ac:dyDescent="0.25">
      <c r="A15" s="25" t="str">
        <f>'[1]iesiri 2023'!A720:F720</f>
        <v>TOTAL ART. 20.04.03 REACTIVI</v>
      </c>
      <c r="B15" s="12">
        <f>Foaie1!H330</f>
        <v>550000.00215000007</v>
      </c>
      <c r="C15" s="128">
        <f t="shared" si="0"/>
        <v>654500.00255850004</v>
      </c>
    </row>
    <row r="16" spans="1:3" x14ac:dyDescent="0.25">
      <c r="A16" s="25" t="str">
        <f>'[1]iesiri 2023'!A759:F759</f>
        <v>TOTAL ART. 20.04.04 DEZINFECTANTI</v>
      </c>
      <c r="B16" s="12">
        <f>Foaie1!H347</f>
        <v>779999.99528999988</v>
      </c>
      <c r="C16" s="128">
        <f t="shared" si="0"/>
        <v>928199.99439509981</v>
      </c>
    </row>
    <row r="17" spans="1:3" x14ac:dyDescent="0.25">
      <c r="A17" s="25" t="str">
        <f>'[1]iesiri 2023'!A761:F761</f>
        <v>TOTAL ART. 20.05.01 UNIFORME SI ECHIPAMENT</v>
      </c>
      <c r="B17" s="12">
        <f>Foaie1!H349</f>
        <v>55000</v>
      </c>
      <c r="C17" s="128">
        <f t="shared" si="0"/>
        <v>65450</v>
      </c>
    </row>
    <row r="18" spans="1:3" x14ac:dyDescent="0.25">
      <c r="A18" s="25" t="str">
        <f>'[1]iesiri 2023'!A763:F763</f>
        <v>TOTAL ART. 20.05.03 LENJERIE SI ACCESORII DE PAT</v>
      </c>
      <c r="B18" s="12">
        <f>Foaie1!H351</f>
        <v>115000</v>
      </c>
      <c r="C18" s="128">
        <f t="shared" si="0"/>
        <v>136850</v>
      </c>
    </row>
    <row r="19" spans="1:3" x14ac:dyDescent="0.25">
      <c r="A19" s="25" t="str">
        <f>'[1]iesiri 2023'!A765:F765</f>
        <v>TOTAL ART. 20.05.30 ALTE OBIECTE DE INVENTAR</v>
      </c>
      <c r="B19" s="12">
        <f>Foaie1!H353</f>
        <v>150000</v>
      </c>
      <c r="C19" s="128">
        <f t="shared" si="0"/>
        <v>178500</v>
      </c>
    </row>
    <row r="20" spans="1:3" x14ac:dyDescent="0.25">
      <c r="A20" s="25" t="str">
        <f>'[1]iesiri 2023'!A767:F767</f>
        <v>TOTAL ART. 20.06.01 DEPLASARI INTERNE, DETASARI, TRANSFERARI</v>
      </c>
      <c r="B20" s="12">
        <f>Foaie1!H355</f>
        <v>2000</v>
      </c>
      <c r="C20" s="128">
        <f t="shared" si="0"/>
        <v>2380</v>
      </c>
    </row>
    <row r="21" spans="1:3" x14ac:dyDescent="0.25">
      <c r="A21" s="25" t="str">
        <f>'[1]iesiri 2023'!A823:F823</f>
        <v>TOTAL ART. 20.09 MATERIALE DE LABORATOR</v>
      </c>
      <c r="B21" s="12">
        <f>Foaie1!H357</f>
        <v>120000</v>
      </c>
      <c r="C21" s="128">
        <f t="shared" si="0"/>
        <v>142800</v>
      </c>
    </row>
    <row r="22" spans="1:3" x14ac:dyDescent="0.25">
      <c r="A22" s="25" t="str">
        <f>'[1]iesiri 2023'!A825:F825</f>
        <v>TOTAL ART. 20.30.03 PRIME DE ASIGURARE NON-VIATA</v>
      </c>
      <c r="B22" s="12">
        <f>Foaie1!H361</f>
        <v>75000</v>
      </c>
      <c r="C22" s="128">
        <f t="shared" si="0"/>
        <v>89250</v>
      </c>
    </row>
    <row r="23" spans="1:3" x14ac:dyDescent="0.25">
      <c r="A23" s="25" t="str">
        <f>'[1]iesiri 2023'!A827:F827</f>
        <v>TOTAL ART. 20.30.04 CHIRII</v>
      </c>
      <c r="B23" s="12">
        <f>Foaie1!H363</f>
        <v>65000</v>
      </c>
      <c r="C23" s="128">
        <f t="shared" si="0"/>
        <v>77350</v>
      </c>
    </row>
    <row r="24" spans="1:3" x14ac:dyDescent="0.25">
      <c r="A24" s="25" t="str">
        <f>Foaie1!A365</f>
        <v>TOTAL ART. 20.30.30 ALTE CHELTUIELI</v>
      </c>
      <c r="B24" s="12">
        <f>Foaie1!H365</f>
        <v>55000</v>
      </c>
      <c r="C24" s="128">
        <f t="shared" si="0"/>
        <v>65450</v>
      </c>
    </row>
    <row r="25" spans="1:3" x14ac:dyDescent="0.25">
      <c r="A25" s="25" t="str">
        <f>'[1]iesiri 2023'!A829:F829</f>
        <v>TOTAL ART. 20.13 PREGATIRE PROFESIONALA</v>
      </c>
      <c r="B25" s="12">
        <f>Foaie1!H367</f>
        <v>15000</v>
      </c>
      <c r="C25" s="128">
        <f t="shared" si="0"/>
        <v>17850</v>
      </c>
    </row>
    <row r="26" spans="1:3" x14ac:dyDescent="0.25">
      <c r="A26" s="25" t="str">
        <f>'[1]iesiri 2023'!A835:F835</f>
        <v>TOTAL ART. 20.14 PROTECTIA MUNCII</v>
      </c>
      <c r="B26" s="12">
        <f>Foaie1!H373</f>
        <v>154999.99900000001</v>
      </c>
      <c r="C26" s="128">
        <f t="shared" si="0"/>
        <v>184449.99880999999</v>
      </c>
    </row>
    <row r="27" spans="1:3" x14ac:dyDescent="0.25">
      <c r="A27" s="129" t="s">
        <v>846</v>
      </c>
      <c r="B27" s="130">
        <f>SUM(B2:B26)</f>
        <v>44825263.998808324</v>
      </c>
      <c r="C27" s="131">
        <f>SUM(C2:C26)</f>
        <v>51932064.15905191</v>
      </c>
    </row>
  </sheetData>
  <pageMargins left="0.7" right="0.7" top="0.75" bottom="0.75" header="0.3" footer="0.3"/>
  <pageSetup paperSize="9" scale="77" fitToHeight="0"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CA5E29-A837-40EC-B769-0F42E9F66AD4}">
  <dimension ref="A1:J628"/>
  <sheetViews>
    <sheetView topLeftCell="A600" workbookViewId="0">
      <selection activeCell="G516" sqref="G516:G534"/>
    </sheetView>
  </sheetViews>
  <sheetFormatPr defaultRowHeight="15" x14ac:dyDescent="0.25"/>
  <cols>
    <col min="2" max="2" width="39.5703125" customWidth="1"/>
    <col min="3" max="3" width="13" customWidth="1"/>
    <col min="4" max="4" width="40.140625" customWidth="1"/>
    <col min="7" max="7" width="10.140625" customWidth="1"/>
    <col min="8" max="8" width="10.7109375" customWidth="1"/>
    <col min="9" max="9" width="12" customWidth="1"/>
    <col min="10" max="10" width="12.5703125" customWidth="1"/>
  </cols>
  <sheetData>
    <row r="1" spans="1:10" ht="51" x14ac:dyDescent="0.25">
      <c r="A1" s="167" t="s">
        <v>962</v>
      </c>
      <c r="B1" s="167" t="s">
        <v>963</v>
      </c>
      <c r="C1" s="167" t="s">
        <v>964</v>
      </c>
      <c r="D1" s="167" t="s">
        <v>965</v>
      </c>
      <c r="E1" s="167" t="s">
        <v>511</v>
      </c>
      <c r="F1" s="167" t="s">
        <v>966</v>
      </c>
      <c r="G1" s="168" t="s">
        <v>967</v>
      </c>
      <c r="H1" s="169" t="s">
        <v>968</v>
      </c>
      <c r="I1" s="168" t="s">
        <v>969</v>
      </c>
      <c r="J1" s="168" t="s">
        <v>970</v>
      </c>
    </row>
    <row r="2" spans="1:10" x14ac:dyDescent="0.25">
      <c r="A2" s="170" t="s">
        <v>514</v>
      </c>
      <c r="B2" s="171" t="s">
        <v>515</v>
      </c>
      <c r="C2" s="170" t="s">
        <v>971</v>
      </c>
      <c r="D2" s="171" t="s">
        <v>529</v>
      </c>
      <c r="E2" s="172" t="s">
        <v>452</v>
      </c>
      <c r="F2" s="170">
        <v>200</v>
      </c>
      <c r="G2" s="173">
        <v>1.75</v>
      </c>
      <c r="H2" s="173">
        <v>2.0121000000000002</v>
      </c>
      <c r="I2" s="173">
        <f>H2*F2</f>
        <v>402.42000000000007</v>
      </c>
      <c r="J2" s="173">
        <f t="shared" ref="J2:J25" si="0">I2*1.19</f>
        <v>478.87980000000005</v>
      </c>
    </row>
    <row r="3" spans="1:10" x14ac:dyDescent="0.25">
      <c r="A3" s="170" t="s">
        <v>514</v>
      </c>
      <c r="B3" s="171" t="s">
        <v>515</v>
      </c>
      <c r="C3" s="174" t="s">
        <v>972</v>
      </c>
      <c r="D3" s="171" t="s">
        <v>534</v>
      </c>
      <c r="E3" s="172" t="s">
        <v>452</v>
      </c>
      <c r="F3" s="170">
        <f>4*12</f>
        <v>48</v>
      </c>
      <c r="G3" s="173">
        <v>25</v>
      </c>
      <c r="H3" s="173">
        <f t="shared" ref="H3:H66" si="1">G3*1.15</f>
        <v>28.749999999999996</v>
      </c>
      <c r="I3" s="173">
        <f t="shared" ref="I3:I25" si="2">H3*F3</f>
        <v>1379.9999999999998</v>
      </c>
      <c r="J3" s="173">
        <f t="shared" si="0"/>
        <v>1642.1999999999996</v>
      </c>
    </row>
    <row r="4" spans="1:10" x14ac:dyDescent="0.25">
      <c r="A4" s="170" t="s">
        <v>514</v>
      </c>
      <c r="B4" s="171" t="s">
        <v>515</v>
      </c>
      <c r="C4" s="170" t="s">
        <v>973</v>
      </c>
      <c r="D4" s="171" t="s">
        <v>516</v>
      </c>
      <c r="E4" s="172" t="s">
        <v>452</v>
      </c>
      <c r="F4" s="170">
        <v>195</v>
      </c>
      <c r="G4" s="173">
        <v>8.2200000000000006</v>
      </c>
      <c r="H4" s="173">
        <f t="shared" si="1"/>
        <v>9.4529999999999994</v>
      </c>
      <c r="I4" s="173">
        <f t="shared" si="2"/>
        <v>1843.3349999999998</v>
      </c>
      <c r="J4" s="173">
        <f t="shared" si="0"/>
        <v>2193.5686499999997</v>
      </c>
    </row>
    <row r="5" spans="1:10" x14ac:dyDescent="0.25">
      <c r="A5" s="170" t="s">
        <v>514</v>
      </c>
      <c r="B5" s="171" t="s">
        <v>515</v>
      </c>
      <c r="C5" s="170" t="s">
        <v>974</v>
      </c>
      <c r="D5" s="171" t="s">
        <v>517</v>
      </c>
      <c r="E5" s="172" t="s">
        <v>452</v>
      </c>
      <c r="F5" s="170">
        <v>250</v>
      </c>
      <c r="G5" s="173">
        <v>4.88</v>
      </c>
      <c r="H5" s="173">
        <f t="shared" si="1"/>
        <v>5.6119999999999992</v>
      </c>
      <c r="I5" s="173">
        <f t="shared" si="2"/>
        <v>1402.9999999999998</v>
      </c>
      <c r="J5" s="173">
        <f t="shared" si="0"/>
        <v>1669.5699999999997</v>
      </c>
    </row>
    <row r="6" spans="1:10" x14ac:dyDescent="0.25">
      <c r="A6" s="170" t="s">
        <v>514</v>
      </c>
      <c r="B6" s="171" t="s">
        <v>515</v>
      </c>
      <c r="C6" s="170" t="s">
        <v>975</v>
      </c>
      <c r="D6" s="171" t="s">
        <v>518</v>
      </c>
      <c r="E6" s="172" t="s">
        <v>519</v>
      </c>
      <c r="F6" s="170">
        <v>550</v>
      </c>
      <c r="G6" s="173">
        <v>0.56000000000000005</v>
      </c>
      <c r="H6" s="173">
        <f t="shared" si="1"/>
        <v>0.64400000000000002</v>
      </c>
      <c r="I6" s="173">
        <f t="shared" si="2"/>
        <v>354.2</v>
      </c>
      <c r="J6" s="173">
        <f t="shared" si="0"/>
        <v>421.49799999999999</v>
      </c>
    </row>
    <row r="7" spans="1:10" ht="25.5" x14ac:dyDescent="0.25">
      <c r="A7" s="170" t="s">
        <v>514</v>
      </c>
      <c r="B7" s="171" t="s">
        <v>515</v>
      </c>
      <c r="C7" s="174" t="s">
        <v>976</v>
      </c>
      <c r="D7" s="175" t="s">
        <v>977</v>
      </c>
      <c r="E7" s="172" t="s">
        <v>452</v>
      </c>
      <c r="F7" s="170">
        <v>10</v>
      </c>
      <c r="G7" s="173">
        <v>176.4</v>
      </c>
      <c r="H7" s="173">
        <f t="shared" si="1"/>
        <v>202.85999999999999</v>
      </c>
      <c r="I7" s="173">
        <f t="shared" si="2"/>
        <v>2028.6</v>
      </c>
      <c r="J7" s="173">
        <f t="shared" si="0"/>
        <v>2414.0339999999997</v>
      </c>
    </row>
    <row r="8" spans="1:10" x14ac:dyDescent="0.25">
      <c r="A8" s="170" t="s">
        <v>514</v>
      </c>
      <c r="B8" s="171" t="s">
        <v>515</v>
      </c>
      <c r="C8" s="174" t="s">
        <v>978</v>
      </c>
      <c r="D8" s="171" t="s">
        <v>531</v>
      </c>
      <c r="E8" s="172" t="s">
        <v>452</v>
      </c>
      <c r="F8" s="170">
        <v>5000</v>
      </c>
      <c r="G8" s="173">
        <v>1.02</v>
      </c>
      <c r="H8" s="173">
        <f t="shared" si="1"/>
        <v>1.1729999999999998</v>
      </c>
      <c r="I8" s="173">
        <f t="shared" si="2"/>
        <v>5864.9999999999991</v>
      </c>
      <c r="J8" s="173">
        <f t="shared" si="0"/>
        <v>6979.3499999999985</v>
      </c>
    </row>
    <row r="9" spans="1:10" x14ac:dyDescent="0.25">
      <c r="A9" s="170" t="s">
        <v>514</v>
      </c>
      <c r="B9" s="171" t="s">
        <v>515</v>
      </c>
      <c r="C9" s="174" t="s">
        <v>972</v>
      </c>
      <c r="D9" s="171" t="s">
        <v>535</v>
      </c>
      <c r="E9" s="172" t="s">
        <v>452</v>
      </c>
      <c r="F9" s="170">
        <v>50</v>
      </c>
      <c r="G9" s="173">
        <v>9</v>
      </c>
      <c r="H9" s="173">
        <f t="shared" si="1"/>
        <v>10.35</v>
      </c>
      <c r="I9" s="173">
        <f t="shared" si="2"/>
        <v>517.5</v>
      </c>
      <c r="J9" s="173">
        <f t="shared" si="0"/>
        <v>615.82499999999993</v>
      </c>
    </row>
    <row r="10" spans="1:10" x14ac:dyDescent="0.25">
      <c r="A10" s="170" t="s">
        <v>514</v>
      </c>
      <c r="B10" s="171" t="s">
        <v>515</v>
      </c>
      <c r="C10" s="170" t="s">
        <v>979</v>
      </c>
      <c r="D10" s="171" t="s">
        <v>520</v>
      </c>
      <c r="E10" s="172" t="s">
        <v>452</v>
      </c>
      <c r="F10" s="170">
        <v>100</v>
      </c>
      <c r="G10" s="173">
        <v>1.62</v>
      </c>
      <c r="H10" s="173">
        <f t="shared" si="1"/>
        <v>1.863</v>
      </c>
      <c r="I10" s="173">
        <f t="shared" si="2"/>
        <v>186.3</v>
      </c>
      <c r="J10" s="173">
        <f t="shared" si="0"/>
        <v>221.697</v>
      </c>
    </row>
    <row r="11" spans="1:10" x14ac:dyDescent="0.25">
      <c r="A11" s="170" t="s">
        <v>514</v>
      </c>
      <c r="B11" s="171" t="s">
        <v>515</v>
      </c>
      <c r="C11" s="170" t="s">
        <v>980</v>
      </c>
      <c r="D11" s="171" t="s">
        <v>521</v>
      </c>
      <c r="E11" s="172" t="s">
        <v>452</v>
      </c>
      <c r="F11" s="170">
        <v>4000</v>
      </c>
      <c r="G11" s="173">
        <v>0.46</v>
      </c>
      <c r="H11" s="173">
        <f t="shared" si="1"/>
        <v>0.52900000000000003</v>
      </c>
      <c r="I11" s="173">
        <f t="shared" si="2"/>
        <v>2116</v>
      </c>
      <c r="J11" s="173">
        <f t="shared" si="0"/>
        <v>2518.04</v>
      </c>
    </row>
    <row r="12" spans="1:10" x14ac:dyDescent="0.25">
      <c r="A12" s="170" t="s">
        <v>514</v>
      </c>
      <c r="B12" s="171" t="s">
        <v>515</v>
      </c>
      <c r="C12" s="170" t="s">
        <v>980</v>
      </c>
      <c r="D12" s="171" t="s">
        <v>522</v>
      </c>
      <c r="E12" s="172" t="s">
        <v>452</v>
      </c>
      <c r="F12" s="170">
        <v>15000</v>
      </c>
      <c r="G12" s="173">
        <v>0.43</v>
      </c>
      <c r="H12" s="173">
        <f t="shared" si="1"/>
        <v>0.49449999999999994</v>
      </c>
      <c r="I12" s="173">
        <f t="shared" si="2"/>
        <v>7417.4999999999991</v>
      </c>
      <c r="J12" s="173">
        <f t="shared" si="0"/>
        <v>8826.8249999999989</v>
      </c>
    </row>
    <row r="13" spans="1:10" x14ac:dyDescent="0.25">
      <c r="A13" s="170" t="s">
        <v>514</v>
      </c>
      <c r="B13" s="171" t="s">
        <v>515</v>
      </c>
      <c r="C13" s="170" t="s">
        <v>978</v>
      </c>
      <c r="D13" s="171" t="s">
        <v>530</v>
      </c>
      <c r="E13" s="172" t="s">
        <v>452</v>
      </c>
      <c r="F13" s="170">
        <v>2200</v>
      </c>
      <c r="G13" s="173">
        <v>1.23</v>
      </c>
      <c r="H13" s="173">
        <f t="shared" si="1"/>
        <v>1.4144999999999999</v>
      </c>
      <c r="I13" s="173">
        <f t="shared" si="2"/>
        <v>3111.8999999999996</v>
      </c>
      <c r="J13" s="173">
        <f t="shared" si="0"/>
        <v>3703.1609999999996</v>
      </c>
    </row>
    <row r="14" spans="1:10" x14ac:dyDescent="0.25">
      <c r="A14" s="170" t="s">
        <v>514</v>
      </c>
      <c r="B14" s="171" t="s">
        <v>515</v>
      </c>
      <c r="C14" s="174" t="s">
        <v>972</v>
      </c>
      <c r="D14" s="171" t="s">
        <v>536</v>
      </c>
      <c r="E14" s="172" t="s">
        <v>452</v>
      </c>
      <c r="F14" s="170">
        <v>20</v>
      </c>
      <c r="G14" s="173">
        <v>19</v>
      </c>
      <c r="H14" s="173">
        <f t="shared" si="1"/>
        <v>21.849999999999998</v>
      </c>
      <c r="I14" s="173">
        <f t="shared" si="2"/>
        <v>436.99999999999994</v>
      </c>
      <c r="J14" s="173">
        <f t="shared" si="0"/>
        <v>520.02999999999986</v>
      </c>
    </row>
    <row r="15" spans="1:10" x14ac:dyDescent="0.25">
      <c r="A15" s="170" t="s">
        <v>514</v>
      </c>
      <c r="B15" s="171" t="s">
        <v>515</v>
      </c>
      <c r="C15" s="170" t="s">
        <v>972</v>
      </c>
      <c r="D15" s="171" t="s">
        <v>532</v>
      </c>
      <c r="E15" s="172" t="s">
        <v>533</v>
      </c>
      <c r="F15" s="170">
        <v>100</v>
      </c>
      <c r="G15" s="173">
        <v>6.86</v>
      </c>
      <c r="H15" s="173">
        <f t="shared" si="1"/>
        <v>7.8889999999999993</v>
      </c>
      <c r="I15" s="173">
        <f t="shared" si="2"/>
        <v>788.9</v>
      </c>
      <c r="J15" s="173">
        <f t="shared" si="0"/>
        <v>938.79099999999994</v>
      </c>
    </row>
    <row r="16" spans="1:10" x14ac:dyDescent="0.25">
      <c r="A16" s="170" t="s">
        <v>514</v>
      </c>
      <c r="B16" s="171" t="s">
        <v>515</v>
      </c>
      <c r="C16" s="170" t="s">
        <v>981</v>
      </c>
      <c r="D16" s="171" t="s">
        <v>523</v>
      </c>
      <c r="E16" s="172" t="s">
        <v>524</v>
      </c>
      <c r="F16" s="170">
        <v>1900</v>
      </c>
      <c r="G16" s="173">
        <v>14</v>
      </c>
      <c r="H16" s="173">
        <f t="shared" si="1"/>
        <v>16.099999999999998</v>
      </c>
      <c r="I16" s="173">
        <f t="shared" si="2"/>
        <v>30589.999999999996</v>
      </c>
      <c r="J16" s="173">
        <f t="shared" si="0"/>
        <v>36402.099999999991</v>
      </c>
    </row>
    <row r="17" spans="1:10" x14ac:dyDescent="0.25">
      <c r="A17" s="170" t="s">
        <v>514</v>
      </c>
      <c r="B17" s="171" t="s">
        <v>515</v>
      </c>
      <c r="C17" s="170" t="s">
        <v>982</v>
      </c>
      <c r="D17" s="171" t="s">
        <v>525</v>
      </c>
      <c r="E17" s="172" t="s">
        <v>452</v>
      </c>
      <c r="F17" s="170">
        <v>250</v>
      </c>
      <c r="G17" s="173">
        <v>1.64</v>
      </c>
      <c r="H17" s="173">
        <f t="shared" si="1"/>
        <v>1.8859999999999997</v>
      </c>
      <c r="I17" s="173">
        <f t="shared" si="2"/>
        <v>471.49999999999994</v>
      </c>
      <c r="J17" s="173">
        <f t="shared" si="0"/>
        <v>561.08499999999992</v>
      </c>
    </row>
    <row r="18" spans="1:10" x14ac:dyDescent="0.25">
      <c r="A18" s="170" t="s">
        <v>514</v>
      </c>
      <c r="B18" s="171" t="s">
        <v>515</v>
      </c>
      <c r="C18" s="170" t="s">
        <v>971</v>
      </c>
      <c r="D18" s="171" t="s">
        <v>526</v>
      </c>
      <c r="E18" s="172" t="s">
        <v>452</v>
      </c>
      <c r="F18" s="170">
        <v>1600</v>
      </c>
      <c r="G18" s="173">
        <v>0.86</v>
      </c>
      <c r="H18" s="173">
        <f t="shared" si="1"/>
        <v>0.98899999999999988</v>
      </c>
      <c r="I18" s="173">
        <f t="shared" si="2"/>
        <v>1582.3999999999999</v>
      </c>
      <c r="J18" s="173">
        <f t="shared" si="0"/>
        <v>1883.0559999999998</v>
      </c>
    </row>
    <row r="19" spans="1:10" x14ac:dyDescent="0.25">
      <c r="A19" s="170" t="s">
        <v>514</v>
      </c>
      <c r="B19" s="171" t="s">
        <v>515</v>
      </c>
      <c r="C19" s="174" t="s">
        <v>972</v>
      </c>
      <c r="D19" s="171" t="s">
        <v>983</v>
      </c>
      <c r="E19" s="172" t="s">
        <v>452</v>
      </c>
      <c r="F19" s="170">
        <v>5200</v>
      </c>
      <c r="G19" s="173">
        <v>0.1</v>
      </c>
      <c r="H19" s="173">
        <f t="shared" si="1"/>
        <v>0.11499999999999999</v>
      </c>
      <c r="I19" s="173">
        <f t="shared" si="2"/>
        <v>598</v>
      </c>
      <c r="J19" s="173">
        <f t="shared" si="0"/>
        <v>711.62</v>
      </c>
    </row>
    <row r="20" spans="1:10" x14ac:dyDescent="0.25">
      <c r="A20" s="170" t="s">
        <v>514</v>
      </c>
      <c r="B20" s="171" t="s">
        <v>515</v>
      </c>
      <c r="C20" s="174" t="s">
        <v>972</v>
      </c>
      <c r="D20" s="171" t="s">
        <v>984</v>
      </c>
      <c r="E20" s="172" t="s">
        <v>452</v>
      </c>
      <c r="F20" s="170">
        <v>600</v>
      </c>
      <c r="G20" s="173">
        <v>0.12</v>
      </c>
      <c r="H20" s="173">
        <f t="shared" si="1"/>
        <v>0.13799999999999998</v>
      </c>
      <c r="I20" s="173">
        <f t="shared" si="2"/>
        <v>82.8</v>
      </c>
      <c r="J20" s="173">
        <f t="shared" si="0"/>
        <v>98.531999999999996</v>
      </c>
    </row>
    <row r="21" spans="1:10" x14ac:dyDescent="0.25">
      <c r="A21" s="170" t="s">
        <v>514</v>
      </c>
      <c r="B21" s="171" t="s">
        <v>515</v>
      </c>
      <c r="C21" s="170" t="s">
        <v>985</v>
      </c>
      <c r="D21" s="171" t="s">
        <v>986</v>
      </c>
      <c r="E21" s="172" t="s">
        <v>452</v>
      </c>
      <c r="F21" s="170">
        <v>100</v>
      </c>
      <c r="G21" s="173">
        <v>6.06</v>
      </c>
      <c r="H21" s="173">
        <f t="shared" si="1"/>
        <v>6.9689999999999994</v>
      </c>
      <c r="I21" s="173">
        <f t="shared" si="2"/>
        <v>696.9</v>
      </c>
      <c r="J21" s="173">
        <f t="shared" si="0"/>
        <v>829.31099999999992</v>
      </c>
    </row>
    <row r="22" spans="1:10" x14ac:dyDescent="0.25">
      <c r="A22" s="170" t="s">
        <v>514</v>
      </c>
      <c r="B22" s="171" t="s">
        <v>515</v>
      </c>
      <c r="C22" s="174" t="s">
        <v>972</v>
      </c>
      <c r="D22" s="171" t="s">
        <v>527</v>
      </c>
      <c r="E22" s="172" t="s">
        <v>452</v>
      </c>
      <c r="F22" s="170">
        <v>20</v>
      </c>
      <c r="G22" s="173">
        <v>6.34</v>
      </c>
      <c r="H22" s="173">
        <f t="shared" si="1"/>
        <v>7.2909999999999995</v>
      </c>
      <c r="I22" s="173">
        <f t="shared" si="2"/>
        <v>145.82</v>
      </c>
      <c r="J22" s="173">
        <f t="shared" si="0"/>
        <v>173.52579999999998</v>
      </c>
    </row>
    <row r="23" spans="1:10" ht="30" x14ac:dyDescent="0.25">
      <c r="A23" s="170" t="s">
        <v>514</v>
      </c>
      <c r="B23" s="171" t="s">
        <v>515</v>
      </c>
      <c r="C23" s="170" t="s">
        <v>987</v>
      </c>
      <c r="D23" s="171" t="s">
        <v>988</v>
      </c>
      <c r="E23" s="172" t="s">
        <v>452</v>
      </c>
      <c r="F23" s="170">
        <v>1</v>
      </c>
      <c r="G23" s="173">
        <v>79</v>
      </c>
      <c r="H23" s="173">
        <f t="shared" si="1"/>
        <v>90.85</v>
      </c>
      <c r="I23" s="173">
        <f t="shared" si="2"/>
        <v>90.85</v>
      </c>
      <c r="J23" s="173">
        <f t="shared" si="0"/>
        <v>108.11149999999999</v>
      </c>
    </row>
    <row r="24" spans="1:10" x14ac:dyDescent="0.25">
      <c r="A24" s="170" t="s">
        <v>514</v>
      </c>
      <c r="B24" s="171" t="s">
        <v>515</v>
      </c>
      <c r="C24" s="170" t="s">
        <v>989</v>
      </c>
      <c r="D24" s="171" t="s">
        <v>528</v>
      </c>
      <c r="E24" s="172" t="s">
        <v>452</v>
      </c>
      <c r="F24" s="170">
        <v>230</v>
      </c>
      <c r="G24" s="173">
        <v>3.33</v>
      </c>
      <c r="H24" s="173">
        <f t="shared" si="1"/>
        <v>3.8294999999999999</v>
      </c>
      <c r="I24" s="173">
        <f t="shared" si="2"/>
        <v>880.78499999999997</v>
      </c>
      <c r="J24" s="173">
        <f t="shared" si="0"/>
        <v>1048.1341499999999</v>
      </c>
    </row>
    <row r="25" spans="1:10" x14ac:dyDescent="0.25">
      <c r="A25" s="170" t="s">
        <v>514</v>
      </c>
      <c r="B25" s="171" t="s">
        <v>515</v>
      </c>
      <c r="C25" s="174" t="s">
        <v>990</v>
      </c>
      <c r="D25" s="171" t="s">
        <v>375</v>
      </c>
      <c r="E25" s="172" t="s">
        <v>452</v>
      </c>
      <c r="F25" s="170">
        <v>1</v>
      </c>
      <c r="G25" s="173">
        <v>30</v>
      </c>
      <c r="H25" s="173">
        <f t="shared" si="1"/>
        <v>34.5</v>
      </c>
      <c r="I25" s="173">
        <f t="shared" si="2"/>
        <v>34.5</v>
      </c>
      <c r="J25" s="173">
        <f t="shared" si="0"/>
        <v>41.055</v>
      </c>
    </row>
    <row r="26" spans="1:10" x14ac:dyDescent="0.25">
      <c r="A26" s="237" t="s">
        <v>991</v>
      </c>
      <c r="B26" s="238"/>
      <c r="C26" s="238"/>
      <c r="D26" s="238"/>
      <c r="E26" s="238"/>
      <c r="F26" s="238"/>
      <c r="G26" s="238"/>
      <c r="H26" s="238"/>
      <c r="I26" s="239"/>
      <c r="J26" s="179">
        <f>SUM(J2:J25)</f>
        <v>74999.999899999981</v>
      </c>
    </row>
    <row r="27" spans="1:10" x14ac:dyDescent="0.25">
      <c r="A27" s="170" t="s">
        <v>538</v>
      </c>
      <c r="B27" s="171" t="s">
        <v>539</v>
      </c>
      <c r="C27" s="170" t="s">
        <v>992</v>
      </c>
      <c r="D27" s="171" t="s">
        <v>563</v>
      </c>
      <c r="E27" s="172" t="s">
        <v>452</v>
      </c>
      <c r="F27" s="170">
        <v>30</v>
      </c>
      <c r="G27" s="173">
        <v>319</v>
      </c>
      <c r="H27" s="173">
        <f t="shared" si="1"/>
        <v>366.84999999999997</v>
      </c>
      <c r="I27" s="173">
        <f>H27*F27</f>
        <v>11005.499999999998</v>
      </c>
      <c r="J27" s="173">
        <f t="shared" ref="J27:J56" si="3">I27*1.19</f>
        <v>13096.544999999996</v>
      </c>
    </row>
    <row r="28" spans="1:10" x14ac:dyDescent="0.25">
      <c r="A28" s="170" t="s">
        <v>538</v>
      </c>
      <c r="B28" s="171" t="s">
        <v>539</v>
      </c>
      <c r="C28" s="170" t="s">
        <v>992</v>
      </c>
      <c r="D28" s="171" t="s">
        <v>549</v>
      </c>
      <c r="E28" s="172" t="s">
        <v>541</v>
      </c>
      <c r="F28" s="170">
        <v>30</v>
      </c>
      <c r="G28" s="173">
        <v>127</v>
      </c>
      <c r="H28" s="173">
        <f t="shared" si="1"/>
        <v>146.04999999999998</v>
      </c>
      <c r="I28" s="173">
        <f t="shared" ref="I28:I56" si="4">H28*F28</f>
        <v>4381.4999999999991</v>
      </c>
      <c r="J28" s="173">
        <f t="shared" si="3"/>
        <v>5213.9849999999988</v>
      </c>
    </row>
    <row r="29" spans="1:10" x14ac:dyDescent="0.25">
      <c r="A29" s="170" t="s">
        <v>538</v>
      </c>
      <c r="B29" s="171" t="s">
        <v>539</v>
      </c>
      <c r="C29" s="174" t="s">
        <v>993</v>
      </c>
      <c r="D29" s="171" t="s">
        <v>548</v>
      </c>
      <c r="E29" s="172" t="s">
        <v>452</v>
      </c>
      <c r="F29" s="170">
        <v>50</v>
      </c>
      <c r="G29" s="173">
        <v>10.5</v>
      </c>
      <c r="H29" s="173">
        <f t="shared" si="1"/>
        <v>12.074999999999999</v>
      </c>
      <c r="I29" s="173">
        <f t="shared" si="4"/>
        <v>603.75</v>
      </c>
      <c r="J29" s="173">
        <f t="shared" si="3"/>
        <v>718.46249999999998</v>
      </c>
    </row>
    <row r="30" spans="1:10" x14ac:dyDescent="0.25">
      <c r="A30" s="170" t="s">
        <v>538</v>
      </c>
      <c r="B30" s="171" t="s">
        <v>539</v>
      </c>
      <c r="C30" s="170" t="s">
        <v>994</v>
      </c>
      <c r="D30" s="171" t="s">
        <v>565</v>
      </c>
      <c r="E30" s="172" t="s">
        <v>452</v>
      </c>
      <c r="F30" s="170">
        <v>40</v>
      </c>
      <c r="G30" s="173">
        <v>20</v>
      </c>
      <c r="H30" s="173">
        <f t="shared" si="1"/>
        <v>23</v>
      </c>
      <c r="I30" s="173">
        <f t="shared" si="4"/>
        <v>920</v>
      </c>
      <c r="J30" s="173">
        <f t="shared" si="3"/>
        <v>1094.8</v>
      </c>
    </row>
    <row r="31" spans="1:10" x14ac:dyDescent="0.25">
      <c r="A31" s="170" t="s">
        <v>538</v>
      </c>
      <c r="B31" s="171" t="s">
        <v>539</v>
      </c>
      <c r="C31" s="170" t="s">
        <v>995</v>
      </c>
      <c r="D31" s="171" t="s">
        <v>554</v>
      </c>
      <c r="E31" s="172" t="s">
        <v>452</v>
      </c>
      <c r="F31" s="170">
        <v>800</v>
      </c>
      <c r="G31" s="173">
        <v>0.28999999999999998</v>
      </c>
      <c r="H31" s="173">
        <f t="shared" si="1"/>
        <v>0.33349999999999996</v>
      </c>
      <c r="I31" s="173">
        <f t="shared" si="4"/>
        <v>266.79999999999995</v>
      </c>
      <c r="J31" s="173">
        <f t="shared" si="3"/>
        <v>317.4919999999999</v>
      </c>
    </row>
    <row r="32" spans="1:10" x14ac:dyDescent="0.25">
      <c r="A32" s="170" t="s">
        <v>538</v>
      </c>
      <c r="B32" s="171" t="s">
        <v>539</v>
      </c>
      <c r="C32" s="170" t="s">
        <v>993</v>
      </c>
      <c r="D32" s="171" t="s">
        <v>540</v>
      </c>
      <c r="E32" s="172" t="s">
        <v>452</v>
      </c>
      <c r="F32" s="170">
        <v>100</v>
      </c>
      <c r="G32" s="173">
        <v>1.35</v>
      </c>
      <c r="H32" s="173">
        <f t="shared" si="1"/>
        <v>1.5525</v>
      </c>
      <c r="I32" s="173">
        <f t="shared" si="4"/>
        <v>155.25</v>
      </c>
      <c r="J32" s="173">
        <f t="shared" si="3"/>
        <v>184.7475</v>
      </c>
    </row>
    <row r="33" spans="1:10" x14ac:dyDescent="0.25">
      <c r="A33" s="170" t="s">
        <v>538</v>
      </c>
      <c r="B33" s="171" t="s">
        <v>539</v>
      </c>
      <c r="C33" s="170" t="s">
        <v>996</v>
      </c>
      <c r="D33" s="171" t="s">
        <v>557</v>
      </c>
      <c r="E33" s="172" t="s">
        <v>452</v>
      </c>
      <c r="F33" s="170">
        <v>2500</v>
      </c>
      <c r="G33" s="173">
        <v>4.79</v>
      </c>
      <c r="H33" s="173">
        <f t="shared" si="1"/>
        <v>5.5084999999999997</v>
      </c>
      <c r="I33" s="173">
        <f t="shared" si="4"/>
        <v>13771.25</v>
      </c>
      <c r="J33" s="173">
        <f t="shared" si="3"/>
        <v>16387.787499999999</v>
      </c>
    </row>
    <row r="34" spans="1:10" ht="30" x14ac:dyDescent="0.25">
      <c r="A34" s="170" t="s">
        <v>538</v>
      </c>
      <c r="B34" s="171" t="s">
        <v>539</v>
      </c>
      <c r="C34" s="170" t="s">
        <v>996</v>
      </c>
      <c r="D34" s="171" t="s">
        <v>561</v>
      </c>
      <c r="E34" s="172" t="s">
        <v>452</v>
      </c>
      <c r="F34" s="170">
        <v>1000</v>
      </c>
      <c r="G34" s="173">
        <v>4.79</v>
      </c>
      <c r="H34" s="173">
        <f t="shared" si="1"/>
        <v>5.5084999999999997</v>
      </c>
      <c r="I34" s="173">
        <f t="shared" si="4"/>
        <v>5508.5</v>
      </c>
      <c r="J34" s="173">
        <f t="shared" si="3"/>
        <v>6555.1149999999998</v>
      </c>
    </row>
    <row r="35" spans="1:10" x14ac:dyDescent="0.25">
      <c r="A35" s="170" t="s">
        <v>538</v>
      </c>
      <c r="B35" s="171" t="s">
        <v>539</v>
      </c>
      <c r="C35" s="170" t="s">
        <v>996</v>
      </c>
      <c r="D35" s="171" t="s">
        <v>547</v>
      </c>
      <c r="E35" s="172" t="s">
        <v>452</v>
      </c>
      <c r="F35" s="170">
        <v>200</v>
      </c>
      <c r="G35" s="173">
        <v>2.6</v>
      </c>
      <c r="H35" s="173">
        <f t="shared" si="1"/>
        <v>2.9899999999999998</v>
      </c>
      <c r="I35" s="173">
        <f t="shared" si="4"/>
        <v>598</v>
      </c>
      <c r="J35" s="173">
        <f t="shared" si="3"/>
        <v>711.62</v>
      </c>
    </row>
    <row r="36" spans="1:10" x14ac:dyDescent="0.25">
      <c r="A36" s="170" t="s">
        <v>538</v>
      </c>
      <c r="B36" s="171" t="s">
        <v>539</v>
      </c>
      <c r="C36" s="170" t="s">
        <v>996</v>
      </c>
      <c r="D36" s="171" t="s">
        <v>559</v>
      </c>
      <c r="E36" s="172" t="s">
        <v>452</v>
      </c>
      <c r="F36" s="170">
        <v>1800</v>
      </c>
      <c r="G36" s="173">
        <v>4.68</v>
      </c>
      <c r="H36" s="173">
        <f t="shared" si="1"/>
        <v>5.3819999999999997</v>
      </c>
      <c r="I36" s="173">
        <f t="shared" si="4"/>
        <v>9687.5999999999985</v>
      </c>
      <c r="J36" s="173">
        <f t="shared" si="3"/>
        <v>11528.243999999997</v>
      </c>
    </row>
    <row r="37" spans="1:10" x14ac:dyDescent="0.25">
      <c r="A37" s="170" t="s">
        <v>538</v>
      </c>
      <c r="B37" s="171" t="s">
        <v>539</v>
      </c>
      <c r="C37" s="170" t="s">
        <v>996</v>
      </c>
      <c r="D37" s="171" t="s">
        <v>997</v>
      </c>
      <c r="E37" s="172" t="s">
        <v>452</v>
      </c>
      <c r="F37" s="170">
        <v>600</v>
      </c>
      <c r="G37" s="173">
        <v>5.55</v>
      </c>
      <c r="H37" s="173">
        <f t="shared" si="1"/>
        <v>6.3824999999999994</v>
      </c>
      <c r="I37" s="173">
        <f t="shared" si="4"/>
        <v>3829.4999999999995</v>
      </c>
      <c r="J37" s="173">
        <f t="shared" si="3"/>
        <v>4557.1049999999996</v>
      </c>
    </row>
    <row r="38" spans="1:10" x14ac:dyDescent="0.25">
      <c r="A38" s="170" t="s">
        <v>538</v>
      </c>
      <c r="B38" s="171" t="s">
        <v>539</v>
      </c>
      <c r="C38" s="170" t="s">
        <v>992</v>
      </c>
      <c r="D38" s="171" t="s">
        <v>998</v>
      </c>
      <c r="E38" s="172" t="s">
        <v>541</v>
      </c>
      <c r="F38" s="170">
        <v>30</v>
      </c>
      <c r="G38" s="173">
        <v>4.3</v>
      </c>
      <c r="H38" s="173">
        <f t="shared" si="1"/>
        <v>4.9449999999999994</v>
      </c>
      <c r="I38" s="173">
        <f t="shared" si="4"/>
        <v>148.35</v>
      </c>
      <c r="J38" s="173">
        <f t="shared" si="3"/>
        <v>176.53649999999999</v>
      </c>
    </row>
    <row r="39" spans="1:10" x14ac:dyDescent="0.25">
      <c r="A39" s="170" t="s">
        <v>538</v>
      </c>
      <c r="B39" s="171" t="s">
        <v>539</v>
      </c>
      <c r="C39" s="170" t="s">
        <v>992</v>
      </c>
      <c r="D39" s="171" t="s">
        <v>562</v>
      </c>
      <c r="E39" s="172" t="s">
        <v>452</v>
      </c>
      <c r="F39" s="170">
        <v>35</v>
      </c>
      <c r="G39" s="173">
        <v>319</v>
      </c>
      <c r="H39" s="173">
        <f t="shared" si="1"/>
        <v>366.84999999999997</v>
      </c>
      <c r="I39" s="173">
        <f t="shared" si="4"/>
        <v>12839.749999999998</v>
      </c>
      <c r="J39" s="173">
        <f t="shared" si="3"/>
        <v>15279.302499999998</v>
      </c>
    </row>
    <row r="40" spans="1:10" x14ac:dyDescent="0.25">
      <c r="A40" s="170" t="s">
        <v>538</v>
      </c>
      <c r="B40" s="171" t="s">
        <v>539</v>
      </c>
      <c r="C40" s="170" t="s">
        <v>992</v>
      </c>
      <c r="D40" s="171" t="s">
        <v>550</v>
      </c>
      <c r="E40" s="172" t="s">
        <v>541</v>
      </c>
      <c r="F40" s="170">
        <v>20</v>
      </c>
      <c r="G40" s="173">
        <v>141</v>
      </c>
      <c r="H40" s="173">
        <f t="shared" si="1"/>
        <v>162.14999999999998</v>
      </c>
      <c r="I40" s="173">
        <f t="shared" si="4"/>
        <v>3242.9999999999995</v>
      </c>
      <c r="J40" s="173">
        <f t="shared" si="3"/>
        <v>3859.1699999999992</v>
      </c>
    </row>
    <row r="41" spans="1:10" x14ac:dyDescent="0.25">
      <c r="A41" s="170" t="s">
        <v>538</v>
      </c>
      <c r="B41" s="171" t="s">
        <v>539</v>
      </c>
      <c r="C41" s="170" t="s">
        <v>992</v>
      </c>
      <c r="D41" s="171" t="s">
        <v>545</v>
      </c>
      <c r="E41" s="172" t="s">
        <v>452</v>
      </c>
      <c r="F41" s="170">
        <v>1500</v>
      </c>
      <c r="G41" s="173">
        <v>3.48</v>
      </c>
      <c r="H41" s="173">
        <f t="shared" si="1"/>
        <v>4.0019999999999998</v>
      </c>
      <c r="I41" s="173">
        <f t="shared" si="4"/>
        <v>6003</v>
      </c>
      <c r="J41" s="173">
        <f t="shared" si="3"/>
        <v>7143.57</v>
      </c>
    </row>
    <row r="42" spans="1:10" x14ac:dyDescent="0.25">
      <c r="A42" s="170" t="s">
        <v>538</v>
      </c>
      <c r="B42" s="171" t="s">
        <v>539</v>
      </c>
      <c r="C42" s="170" t="s">
        <v>992</v>
      </c>
      <c r="D42" s="171" t="s">
        <v>999</v>
      </c>
      <c r="E42" s="172" t="s">
        <v>541</v>
      </c>
      <c r="F42" s="170">
        <v>35</v>
      </c>
      <c r="G42" s="173">
        <v>141</v>
      </c>
      <c r="H42" s="173">
        <f t="shared" si="1"/>
        <v>162.14999999999998</v>
      </c>
      <c r="I42" s="173">
        <f t="shared" si="4"/>
        <v>5675.2499999999991</v>
      </c>
      <c r="J42" s="173">
        <f t="shared" si="3"/>
        <v>6753.5474999999988</v>
      </c>
    </row>
    <row r="43" spans="1:10" ht="30" x14ac:dyDescent="0.25">
      <c r="A43" s="170" t="s">
        <v>538</v>
      </c>
      <c r="B43" s="171" t="s">
        <v>539</v>
      </c>
      <c r="C43" s="170" t="s">
        <v>992</v>
      </c>
      <c r="D43" s="171" t="s">
        <v>1000</v>
      </c>
      <c r="E43" s="172" t="s">
        <v>541</v>
      </c>
      <c r="F43" s="170">
        <v>36</v>
      </c>
      <c r="G43" s="173">
        <v>4.46</v>
      </c>
      <c r="H43" s="173">
        <f t="shared" si="1"/>
        <v>5.1289999999999996</v>
      </c>
      <c r="I43" s="173">
        <f t="shared" si="4"/>
        <v>184.64399999999998</v>
      </c>
      <c r="J43" s="173">
        <f t="shared" si="3"/>
        <v>219.72635999999997</v>
      </c>
    </row>
    <row r="44" spans="1:10" x14ac:dyDescent="0.25">
      <c r="A44" s="170" t="s">
        <v>538</v>
      </c>
      <c r="B44" s="171" t="s">
        <v>539</v>
      </c>
      <c r="C44" s="170" t="s">
        <v>992</v>
      </c>
      <c r="D44" s="171" t="s">
        <v>542</v>
      </c>
      <c r="E44" s="172" t="s">
        <v>541</v>
      </c>
      <c r="F44" s="170">
        <v>1000</v>
      </c>
      <c r="G44" s="173">
        <v>1.74</v>
      </c>
      <c r="H44" s="173">
        <f t="shared" si="1"/>
        <v>2.0009999999999999</v>
      </c>
      <c r="I44" s="173">
        <f t="shared" si="4"/>
        <v>2001</v>
      </c>
      <c r="J44" s="173">
        <f t="shared" si="3"/>
        <v>2381.19</v>
      </c>
    </row>
    <row r="45" spans="1:10" x14ac:dyDescent="0.25">
      <c r="A45" s="170" t="s">
        <v>538</v>
      </c>
      <c r="B45" s="171" t="s">
        <v>539</v>
      </c>
      <c r="C45" s="170" t="s">
        <v>992</v>
      </c>
      <c r="D45" s="171" t="s">
        <v>551</v>
      </c>
      <c r="E45" s="172" t="s">
        <v>541</v>
      </c>
      <c r="F45" s="170">
        <v>2390</v>
      </c>
      <c r="G45" s="173">
        <v>11.9</v>
      </c>
      <c r="H45" s="173">
        <f t="shared" si="1"/>
        <v>13.684999999999999</v>
      </c>
      <c r="I45" s="173">
        <f t="shared" si="4"/>
        <v>32707.149999999998</v>
      </c>
      <c r="J45" s="173">
        <f t="shared" si="3"/>
        <v>38921.508499999996</v>
      </c>
    </row>
    <row r="46" spans="1:10" x14ac:dyDescent="0.25">
      <c r="A46" s="170" t="s">
        <v>538</v>
      </c>
      <c r="B46" s="171" t="s">
        <v>539</v>
      </c>
      <c r="C46" s="170" t="s">
        <v>1001</v>
      </c>
      <c r="D46" s="171" t="s">
        <v>543</v>
      </c>
      <c r="E46" s="172" t="s">
        <v>452</v>
      </c>
      <c r="F46" s="170">
        <v>7000</v>
      </c>
      <c r="G46" s="173">
        <v>1.2</v>
      </c>
      <c r="H46" s="173">
        <f t="shared" si="1"/>
        <v>1.38</v>
      </c>
      <c r="I46" s="173">
        <f t="shared" si="4"/>
        <v>9660</v>
      </c>
      <c r="J46" s="173">
        <f t="shared" si="3"/>
        <v>11495.4</v>
      </c>
    </row>
    <row r="47" spans="1:10" x14ac:dyDescent="0.25">
      <c r="A47" s="170" t="s">
        <v>538</v>
      </c>
      <c r="B47" s="171" t="s">
        <v>539</v>
      </c>
      <c r="C47" s="170" t="s">
        <v>993</v>
      </c>
      <c r="D47" s="171" t="s">
        <v>555</v>
      </c>
      <c r="E47" s="172" t="s">
        <v>533</v>
      </c>
      <c r="F47" s="170">
        <v>500</v>
      </c>
      <c r="G47" s="173">
        <v>1.37</v>
      </c>
      <c r="H47" s="173">
        <f t="shared" si="1"/>
        <v>1.5754999999999999</v>
      </c>
      <c r="I47" s="173">
        <f t="shared" si="4"/>
        <v>787.75</v>
      </c>
      <c r="J47" s="173">
        <f t="shared" si="3"/>
        <v>937.42250000000001</v>
      </c>
    </row>
    <row r="48" spans="1:10" x14ac:dyDescent="0.25">
      <c r="A48" s="170" t="s">
        <v>538</v>
      </c>
      <c r="B48" s="171" t="s">
        <v>539</v>
      </c>
      <c r="C48" s="170" t="s">
        <v>1002</v>
      </c>
      <c r="D48" s="171" t="s">
        <v>544</v>
      </c>
      <c r="E48" s="172" t="s">
        <v>452</v>
      </c>
      <c r="F48" s="170">
        <v>100</v>
      </c>
      <c r="G48" s="173">
        <v>13.59</v>
      </c>
      <c r="H48" s="173">
        <f t="shared" si="1"/>
        <v>15.628499999999999</v>
      </c>
      <c r="I48" s="173">
        <f t="shared" si="4"/>
        <v>1562.85</v>
      </c>
      <c r="J48" s="173">
        <f t="shared" si="3"/>
        <v>1859.7914999999998</v>
      </c>
    </row>
    <row r="49" spans="1:10" x14ac:dyDescent="0.25">
      <c r="A49" s="170" t="s">
        <v>538</v>
      </c>
      <c r="B49" s="171" t="s">
        <v>539</v>
      </c>
      <c r="C49" s="170" t="s">
        <v>1003</v>
      </c>
      <c r="D49" s="171" t="s">
        <v>1004</v>
      </c>
      <c r="E49" s="172" t="s">
        <v>452</v>
      </c>
      <c r="F49" s="170">
        <v>2000</v>
      </c>
      <c r="G49" s="173">
        <v>8.6999999999999993</v>
      </c>
      <c r="H49" s="173">
        <f t="shared" si="1"/>
        <v>10.004999999999999</v>
      </c>
      <c r="I49" s="173">
        <f t="shared" si="4"/>
        <v>20009.999999999996</v>
      </c>
      <c r="J49" s="173">
        <f t="shared" si="3"/>
        <v>23811.899999999994</v>
      </c>
    </row>
    <row r="50" spans="1:10" x14ac:dyDescent="0.25">
      <c r="A50" s="170" t="s">
        <v>538</v>
      </c>
      <c r="B50" s="171" t="s">
        <v>539</v>
      </c>
      <c r="C50" s="170" t="s">
        <v>1005</v>
      </c>
      <c r="D50" s="171" t="s">
        <v>558</v>
      </c>
      <c r="E50" s="172" t="s">
        <v>452</v>
      </c>
      <c r="F50" s="170">
        <v>7430</v>
      </c>
      <c r="G50" s="173">
        <v>2.2999999999999998</v>
      </c>
      <c r="H50" s="173">
        <f t="shared" si="1"/>
        <v>2.6449999999999996</v>
      </c>
      <c r="I50" s="173">
        <f t="shared" si="4"/>
        <v>19652.349999999999</v>
      </c>
      <c r="J50" s="173">
        <f t="shared" si="3"/>
        <v>23386.296499999997</v>
      </c>
    </row>
    <row r="51" spans="1:10" x14ac:dyDescent="0.25">
      <c r="A51" s="170" t="s">
        <v>538</v>
      </c>
      <c r="B51" s="171" t="s">
        <v>539</v>
      </c>
      <c r="C51" s="170" t="s">
        <v>1006</v>
      </c>
      <c r="D51" s="171" t="s">
        <v>552</v>
      </c>
      <c r="E51" s="172" t="s">
        <v>553</v>
      </c>
      <c r="F51" s="170">
        <v>7000</v>
      </c>
      <c r="G51" s="173">
        <v>3.1</v>
      </c>
      <c r="H51" s="173">
        <f t="shared" si="1"/>
        <v>3.5649999999999999</v>
      </c>
      <c r="I51" s="173">
        <f t="shared" si="4"/>
        <v>24955</v>
      </c>
      <c r="J51" s="173">
        <f t="shared" si="3"/>
        <v>29696.449999999997</v>
      </c>
    </row>
    <row r="52" spans="1:10" x14ac:dyDescent="0.25">
      <c r="A52" s="170" t="s">
        <v>538</v>
      </c>
      <c r="B52" s="171" t="s">
        <v>539</v>
      </c>
      <c r="C52" s="170" t="s">
        <v>1006</v>
      </c>
      <c r="D52" s="171" t="s">
        <v>556</v>
      </c>
      <c r="E52" s="172" t="s">
        <v>452</v>
      </c>
      <c r="F52" s="170">
        <v>40000</v>
      </c>
      <c r="G52" s="173">
        <v>0.97</v>
      </c>
      <c r="H52" s="173">
        <f t="shared" si="1"/>
        <v>1.1154999999999999</v>
      </c>
      <c r="I52" s="173">
        <f t="shared" si="4"/>
        <v>44620</v>
      </c>
      <c r="J52" s="173">
        <f t="shared" si="3"/>
        <v>53097.799999999996</v>
      </c>
    </row>
    <row r="53" spans="1:10" x14ac:dyDescent="0.25">
      <c r="A53" s="170" t="s">
        <v>538</v>
      </c>
      <c r="B53" s="171" t="s">
        <v>539</v>
      </c>
      <c r="C53" s="170" t="s">
        <v>1007</v>
      </c>
      <c r="D53" s="171" t="s">
        <v>560</v>
      </c>
      <c r="E53" s="172" t="s">
        <v>452</v>
      </c>
      <c r="F53" s="170">
        <v>600</v>
      </c>
      <c r="G53" s="173">
        <v>42</v>
      </c>
      <c r="H53" s="173">
        <f t="shared" si="1"/>
        <v>48.3</v>
      </c>
      <c r="I53" s="173">
        <f t="shared" si="4"/>
        <v>28980</v>
      </c>
      <c r="J53" s="173">
        <f t="shared" si="3"/>
        <v>34486.199999999997</v>
      </c>
    </row>
    <row r="54" spans="1:10" x14ac:dyDescent="0.25">
      <c r="A54" s="170" t="s">
        <v>538</v>
      </c>
      <c r="B54" s="171" t="s">
        <v>539</v>
      </c>
      <c r="C54" s="170" t="s">
        <v>992</v>
      </c>
      <c r="D54" s="171" t="s">
        <v>546</v>
      </c>
      <c r="E54" s="172" t="s">
        <v>452</v>
      </c>
      <c r="F54" s="170">
        <v>2100</v>
      </c>
      <c r="G54" s="173">
        <v>5</v>
      </c>
      <c r="H54" s="173">
        <f t="shared" si="1"/>
        <v>5.75</v>
      </c>
      <c r="I54" s="173">
        <f t="shared" si="4"/>
        <v>12075</v>
      </c>
      <c r="J54" s="173">
        <f t="shared" si="3"/>
        <v>14369.25</v>
      </c>
    </row>
    <row r="55" spans="1:10" x14ac:dyDescent="0.25">
      <c r="A55" s="170" t="s">
        <v>538</v>
      </c>
      <c r="B55" s="171" t="s">
        <v>539</v>
      </c>
      <c r="C55" s="174" t="s">
        <v>993</v>
      </c>
      <c r="D55" s="171" t="s">
        <v>566</v>
      </c>
      <c r="E55" s="172" t="s">
        <v>452</v>
      </c>
      <c r="F55" s="170">
        <v>200</v>
      </c>
      <c r="G55" s="173">
        <v>19.5</v>
      </c>
      <c r="H55" s="173">
        <f t="shared" si="1"/>
        <v>22.424999999999997</v>
      </c>
      <c r="I55" s="173">
        <f t="shared" si="4"/>
        <v>4484.9999999999991</v>
      </c>
      <c r="J55" s="173">
        <f t="shared" si="3"/>
        <v>5337.1499999999987</v>
      </c>
    </row>
    <row r="56" spans="1:10" x14ac:dyDescent="0.25">
      <c r="A56" s="170" t="s">
        <v>538</v>
      </c>
      <c r="B56" s="171" t="s">
        <v>539</v>
      </c>
      <c r="C56" s="174" t="s">
        <v>1008</v>
      </c>
      <c r="D56" s="171" t="s">
        <v>564</v>
      </c>
      <c r="E56" s="172" t="s">
        <v>452</v>
      </c>
      <c r="F56" s="170">
        <v>48</v>
      </c>
      <c r="G56" s="173">
        <v>250</v>
      </c>
      <c r="H56" s="173">
        <f t="shared" si="1"/>
        <v>287.5</v>
      </c>
      <c r="I56" s="173">
        <f t="shared" si="4"/>
        <v>13800</v>
      </c>
      <c r="J56" s="173">
        <f t="shared" si="3"/>
        <v>16422</v>
      </c>
    </row>
    <row r="57" spans="1:10" x14ac:dyDescent="0.25">
      <c r="A57" s="237" t="s">
        <v>1009</v>
      </c>
      <c r="B57" s="238"/>
      <c r="C57" s="238"/>
      <c r="D57" s="238"/>
      <c r="E57" s="238"/>
      <c r="F57" s="238"/>
      <c r="G57" s="238"/>
      <c r="H57" s="238"/>
      <c r="I57" s="239"/>
      <c r="J57" s="179">
        <f>SUM(J27:J56)</f>
        <v>350000.11536</v>
      </c>
    </row>
    <row r="58" spans="1:10" x14ac:dyDescent="0.25">
      <c r="A58" s="170" t="s">
        <v>568</v>
      </c>
      <c r="B58" s="171" t="s">
        <v>569</v>
      </c>
      <c r="C58" s="174" t="s">
        <v>1010</v>
      </c>
      <c r="D58" s="171" t="s">
        <v>1011</v>
      </c>
      <c r="E58" s="172" t="s">
        <v>452</v>
      </c>
      <c r="F58" s="170">
        <v>2</v>
      </c>
      <c r="G58" s="173">
        <v>923.53</v>
      </c>
      <c r="H58" s="173">
        <f t="shared" si="1"/>
        <v>1062.0594999999998</v>
      </c>
      <c r="I58" s="173">
        <f>H58*F58</f>
        <v>2124.1189999999997</v>
      </c>
      <c r="J58" s="173">
        <f t="shared" ref="J58:J68" si="5">I58*1.19</f>
        <v>2527.7016099999996</v>
      </c>
    </row>
    <row r="59" spans="1:10" x14ac:dyDescent="0.25">
      <c r="A59" s="170" t="s">
        <v>568</v>
      </c>
      <c r="B59" s="171" t="s">
        <v>569</v>
      </c>
      <c r="C59" s="170" t="s">
        <v>1012</v>
      </c>
      <c r="D59" s="171" t="s">
        <v>573</v>
      </c>
      <c r="E59" s="172" t="s">
        <v>452</v>
      </c>
      <c r="F59" s="170">
        <v>180</v>
      </c>
      <c r="G59" s="173">
        <v>3</v>
      </c>
      <c r="H59" s="173">
        <f t="shared" si="1"/>
        <v>3.4499999999999997</v>
      </c>
      <c r="I59" s="173">
        <f t="shared" ref="I59:I68" si="6">H59*F59</f>
        <v>621</v>
      </c>
      <c r="J59" s="173">
        <f t="shared" si="5"/>
        <v>738.99</v>
      </c>
    </row>
    <row r="60" spans="1:10" x14ac:dyDescent="0.25">
      <c r="A60" s="170" t="s">
        <v>568</v>
      </c>
      <c r="B60" s="171" t="s">
        <v>569</v>
      </c>
      <c r="C60" s="170" t="s">
        <v>1012</v>
      </c>
      <c r="D60" s="171" t="s">
        <v>572</v>
      </c>
      <c r="E60" s="172" t="s">
        <v>452</v>
      </c>
      <c r="F60" s="170">
        <v>140</v>
      </c>
      <c r="G60" s="173">
        <v>3</v>
      </c>
      <c r="H60" s="173">
        <f t="shared" si="1"/>
        <v>3.4499999999999997</v>
      </c>
      <c r="I60" s="173">
        <f t="shared" si="6"/>
        <v>482.99999999999994</v>
      </c>
      <c r="J60" s="173">
        <f t="shared" si="5"/>
        <v>574.76999999999987</v>
      </c>
    </row>
    <row r="61" spans="1:10" x14ac:dyDescent="0.25">
      <c r="A61" s="170" t="s">
        <v>568</v>
      </c>
      <c r="B61" s="171" t="s">
        <v>569</v>
      </c>
      <c r="C61" s="170" t="s">
        <v>1012</v>
      </c>
      <c r="D61" s="171" t="s">
        <v>570</v>
      </c>
      <c r="E61" s="172" t="s">
        <v>452</v>
      </c>
      <c r="F61" s="170">
        <v>80</v>
      </c>
      <c r="G61" s="173">
        <v>3</v>
      </c>
      <c r="H61" s="173">
        <f t="shared" si="1"/>
        <v>3.4499999999999997</v>
      </c>
      <c r="I61" s="173">
        <f t="shared" si="6"/>
        <v>276</v>
      </c>
      <c r="J61" s="173">
        <f t="shared" si="5"/>
        <v>328.44</v>
      </c>
    </row>
    <row r="62" spans="1:10" x14ac:dyDescent="0.25">
      <c r="A62" s="170" t="s">
        <v>568</v>
      </c>
      <c r="B62" s="171" t="s">
        <v>569</v>
      </c>
      <c r="C62" s="170" t="s">
        <v>1012</v>
      </c>
      <c r="D62" s="171" t="s">
        <v>571</v>
      </c>
      <c r="E62" s="172" t="s">
        <v>452</v>
      </c>
      <c r="F62" s="170">
        <v>160</v>
      </c>
      <c r="G62" s="173">
        <v>5.5</v>
      </c>
      <c r="H62" s="173">
        <f t="shared" si="1"/>
        <v>6.3249999999999993</v>
      </c>
      <c r="I62" s="173">
        <f t="shared" si="6"/>
        <v>1011.9999999999999</v>
      </c>
      <c r="J62" s="173">
        <f t="shared" si="5"/>
        <v>1204.2799999999997</v>
      </c>
    </row>
    <row r="63" spans="1:10" x14ac:dyDescent="0.25">
      <c r="A63" s="170" t="s">
        <v>568</v>
      </c>
      <c r="B63" s="171" t="s">
        <v>569</v>
      </c>
      <c r="C63" s="170" t="s">
        <v>1013</v>
      </c>
      <c r="D63" s="171" t="s">
        <v>574</v>
      </c>
      <c r="E63" s="172" t="s">
        <v>452</v>
      </c>
      <c r="F63" s="170">
        <v>190</v>
      </c>
      <c r="G63" s="173">
        <v>16.8</v>
      </c>
      <c r="H63" s="173">
        <f t="shared" si="1"/>
        <v>19.32</v>
      </c>
      <c r="I63" s="173">
        <f t="shared" si="6"/>
        <v>3670.8</v>
      </c>
      <c r="J63" s="173">
        <f t="shared" si="5"/>
        <v>4368.2520000000004</v>
      </c>
    </row>
    <row r="64" spans="1:10" x14ac:dyDescent="0.25">
      <c r="A64" s="170" t="s">
        <v>568</v>
      </c>
      <c r="B64" s="171" t="s">
        <v>569</v>
      </c>
      <c r="C64" s="170" t="s">
        <v>1014</v>
      </c>
      <c r="D64" s="171" t="s">
        <v>1015</v>
      </c>
      <c r="E64" s="172" t="s">
        <v>452</v>
      </c>
      <c r="F64" s="170">
        <v>20</v>
      </c>
      <c r="G64" s="173">
        <v>262.8</v>
      </c>
      <c r="H64" s="173">
        <f t="shared" si="1"/>
        <v>302.21999999999997</v>
      </c>
      <c r="I64" s="173">
        <f t="shared" si="6"/>
        <v>6044.4</v>
      </c>
      <c r="J64" s="173">
        <f t="shared" si="5"/>
        <v>7192.8359999999993</v>
      </c>
    </row>
    <row r="65" spans="1:10" x14ac:dyDescent="0.25">
      <c r="A65" s="170" t="s">
        <v>568</v>
      </c>
      <c r="B65" s="171" t="s">
        <v>569</v>
      </c>
      <c r="C65" s="170" t="s">
        <v>1014</v>
      </c>
      <c r="D65" s="171" t="s">
        <v>1016</v>
      </c>
      <c r="E65" s="172" t="s">
        <v>452</v>
      </c>
      <c r="F65" s="170">
        <v>10</v>
      </c>
      <c r="G65" s="173">
        <v>258.8</v>
      </c>
      <c r="H65" s="173">
        <f t="shared" si="1"/>
        <v>297.62</v>
      </c>
      <c r="I65" s="173">
        <f t="shared" si="6"/>
        <v>2976.2</v>
      </c>
      <c r="J65" s="173">
        <f t="shared" si="5"/>
        <v>3541.6779999999994</v>
      </c>
    </row>
    <row r="66" spans="1:10" x14ac:dyDescent="0.25">
      <c r="A66" s="170" t="s">
        <v>568</v>
      </c>
      <c r="B66" s="171" t="s">
        <v>569</v>
      </c>
      <c r="C66" s="170" t="s">
        <v>1014</v>
      </c>
      <c r="D66" s="171" t="s">
        <v>1017</v>
      </c>
      <c r="E66" s="172" t="s">
        <v>452</v>
      </c>
      <c r="F66" s="170">
        <v>10</v>
      </c>
      <c r="G66" s="173">
        <v>258.8</v>
      </c>
      <c r="H66" s="173">
        <f t="shared" si="1"/>
        <v>297.62</v>
      </c>
      <c r="I66" s="173">
        <f t="shared" si="6"/>
        <v>2976.2</v>
      </c>
      <c r="J66" s="173">
        <f t="shared" si="5"/>
        <v>3541.6779999999994</v>
      </c>
    </row>
    <row r="67" spans="1:10" x14ac:dyDescent="0.25">
      <c r="A67" s="170" t="s">
        <v>568</v>
      </c>
      <c r="B67" s="171" t="s">
        <v>569</v>
      </c>
      <c r="C67" s="174" t="s">
        <v>1018</v>
      </c>
      <c r="D67" s="171" t="s">
        <v>575</v>
      </c>
      <c r="E67" s="172" t="s">
        <v>452</v>
      </c>
      <c r="F67" s="170">
        <v>240</v>
      </c>
      <c r="G67" s="173">
        <v>18.600000000000001</v>
      </c>
      <c r="H67" s="173">
        <f t="shared" ref="H67:H131" si="7">G67*1.15</f>
        <v>21.39</v>
      </c>
      <c r="I67" s="173">
        <f t="shared" si="6"/>
        <v>5133.6000000000004</v>
      </c>
      <c r="J67" s="173">
        <f t="shared" si="5"/>
        <v>6108.9840000000004</v>
      </c>
    </row>
    <row r="68" spans="1:10" x14ac:dyDescent="0.25">
      <c r="A68" s="170" t="s">
        <v>568</v>
      </c>
      <c r="B68" s="171" t="s">
        <v>569</v>
      </c>
      <c r="C68" s="174" t="s">
        <v>1018</v>
      </c>
      <c r="D68" s="171" t="s">
        <v>1019</v>
      </c>
      <c r="E68" s="172" t="s">
        <v>452</v>
      </c>
      <c r="F68" s="170">
        <v>40</v>
      </c>
      <c r="G68" s="173">
        <v>23.1</v>
      </c>
      <c r="H68" s="173">
        <f t="shared" si="7"/>
        <v>26.565000000000001</v>
      </c>
      <c r="I68" s="173">
        <f t="shared" si="6"/>
        <v>1062.6000000000001</v>
      </c>
      <c r="J68" s="173">
        <f t="shared" si="5"/>
        <v>1264.4940000000001</v>
      </c>
    </row>
    <row r="69" spans="1:10" ht="24" x14ac:dyDescent="0.25">
      <c r="A69" s="170" t="s">
        <v>568</v>
      </c>
      <c r="B69" s="171" t="s">
        <v>569</v>
      </c>
      <c r="C69" s="174" t="s">
        <v>1460</v>
      </c>
      <c r="D69" s="52" t="s">
        <v>68</v>
      </c>
      <c r="E69" s="172" t="s">
        <v>1461</v>
      </c>
      <c r="F69" s="170">
        <v>12</v>
      </c>
      <c r="G69" s="173">
        <v>297415.44</v>
      </c>
      <c r="H69" s="173">
        <v>297415.44</v>
      </c>
      <c r="I69" s="173">
        <f>H69*F69</f>
        <v>3568985.2800000003</v>
      </c>
      <c r="J69" s="173">
        <f>I69*1.19</f>
        <v>4247092.4831999997</v>
      </c>
    </row>
    <row r="70" spans="1:10" x14ac:dyDescent="0.25">
      <c r="A70" s="237" t="s">
        <v>1020</v>
      </c>
      <c r="B70" s="238"/>
      <c r="C70" s="238"/>
      <c r="D70" s="238"/>
      <c r="E70" s="238"/>
      <c r="F70" s="238"/>
      <c r="G70" s="238"/>
      <c r="H70" s="238"/>
      <c r="I70" s="239"/>
      <c r="J70" s="179">
        <f>SUM(J58:J69)</f>
        <v>4278484.5868099993</v>
      </c>
    </row>
    <row r="71" spans="1:10" x14ac:dyDescent="0.25">
      <c r="A71" s="170" t="s">
        <v>579</v>
      </c>
      <c r="B71" s="171" t="s">
        <v>580</v>
      </c>
      <c r="C71" s="170" t="s">
        <v>1021</v>
      </c>
      <c r="D71" s="171" t="s">
        <v>581</v>
      </c>
      <c r="E71" s="172" t="s">
        <v>541</v>
      </c>
      <c r="F71" s="170">
        <v>2200</v>
      </c>
      <c r="G71" s="173">
        <v>6.95</v>
      </c>
      <c r="H71" s="173">
        <v>7.99</v>
      </c>
      <c r="I71" s="173">
        <f>H71*F71</f>
        <v>17578</v>
      </c>
      <c r="J71" s="173">
        <f>I71*1.19</f>
        <v>20917.82</v>
      </c>
    </row>
    <row r="72" spans="1:10" x14ac:dyDescent="0.25">
      <c r="A72" s="170" t="s">
        <v>579</v>
      </c>
      <c r="B72" s="171" t="s">
        <v>580</v>
      </c>
      <c r="C72" s="170" t="s">
        <v>1022</v>
      </c>
      <c r="D72" s="171" t="s">
        <v>582</v>
      </c>
      <c r="E72" s="172" t="s">
        <v>541</v>
      </c>
      <c r="F72" s="170">
        <v>455</v>
      </c>
      <c r="G72" s="173">
        <v>6.56</v>
      </c>
      <c r="H72" s="173">
        <v>7.54</v>
      </c>
      <c r="I72" s="173">
        <f>H72*F72</f>
        <v>3430.7</v>
      </c>
      <c r="J72" s="173">
        <f>I72*1.19</f>
        <v>4082.5329999999994</v>
      </c>
    </row>
    <row r="73" spans="1:10" x14ac:dyDescent="0.25">
      <c r="A73" s="237" t="s">
        <v>1023</v>
      </c>
      <c r="B73" s="238"/>
      <c r="C73" s="238"/>
      <c r="D73" s="238"/>
      <c r="E73" s="238"/>
      <c r="F73" s="238"/>
      <c r="G73" s="238"/>
      <c r="H73" s="238"/>
      <c r="I73" s="239"/>
      <c r="J73" s="179">
        <f>SUM(J71:J72)</f>
        <v>25000.352999999999</v>
      </c>
    </row>
    <row r="74" spans="1:10" x14ac:dyDescent="0.25">
      <c r="A74" s="170" t="s">
        <v>453</v>
      </c>
      <c r="B74" s="171" t="s">
        <v>454</v>
      </c>
      <c r="C74" s="170" t="s">
        <v>1024</v>
      </c>
      <c r="D74" s="171" t="s">
        <v>1025</v>
      </c>
      <c r="E74" s="172" t="s">
        <v>452</v>
      </c>
      <c r="F74" s="170">
        <v>10</v>
      </c>
      <c r="G74" s="173">
        <v>299</v>
      </c>
      <c r="H74" s="173">
        <f t="shared" si="7"/>
        <v>343.84999999999997</v>
      </c>
      <c r="I74" s="173">
        <f>H74*F74</f>
        <v>3438.4999999999995</v>
      </c>
      <c r="J74" s="173">
        <f t="shared" ref="J74:J104" si="8">I74*1.19</f>
        <v>4091.8149999999991</v>
      </c>
    </row>
    <row r="75" spans="1:10" x14ac:dyDescent="0.25">
      <c r="A75" s="170" t="s">
        <v>453</v>
      </c>
      <c r="B75" s="171" t="s">
        <v>454</v>
      </c>
      <c r="C75" s="170" t="s">
        <v>1024</v>
      </c>
      <c r="D75" s="171" t="s">
        <v>264</v>
      </c>
      <c r="E75" s="172" t="s">
        <v>452</v>
      </c>
      <c r="F75" s="170">
        <v>1</v>
      </c>
      <c r="G75" s="173">
        <v>299</v>
      </c>
      <c r="H75" s="173">
        <f t="shared" si="7"/>
        <v>343.84999999999997</v>
      </c>
      <c r="I75" s="173">
        <f t="shared" ref="I75:I104" si="9">H75*F75</f>
        <v>343.84999999999997</v>
      </c>
      <c r="J75" s="173">
        <f t="shared" si="8"/>
        <v>409.18149999999991</v>
      </c>
    </row>
    <row r="76" spans="1:10" x14ac:dyDescent="0.25">
      <c r="A76" s="170" t="s">
        <v>453</v>
      </c>
      <c r="B76" s="171" t="s">
        <v>454</v>
      </c>
      <c r="C76" s="170" t="s">
        <v>1024</v>
      </c>
      <c r="D76" s="171" t="s">
        <v>1026</v>
      </c>
      <c r="E76" s="172" t="s">
        <v>452</v>
      </c>
      <c r="F76" s="170">
        <v>4</v>
      </c>
      <c r="G76" s="173">
        <v>915.85</v>
      </c>
      <c r="H76" s="173">
        <f t="shared" si="7"/>
        <v>1053.2275</v>
      </c>
      <c r="I76" s="173">
        <f t="shared" si="9"/>
        <v>4212.91</v>
      </c>
      <c r="J76" s="173">
        <f t="shared" si="8"/>
        <v>5013.3628999999992</v>
      </c>
    </row>
    <row r="77" spans="1:10" ht="30" x14ac:dyDescent="0.25">
      <c r="A77" s="170" t="s">
        <v>453</v>
      </c>
      <c r="B77" s="171" t="s">
        <v>454</v>
      </c>
      <c r="C77" s="170" t="s">
        <v>1027</v>
      </c>
      <c r="D77" s="171" t="s">
        <v>585</v>
      </c>
      <c r="E77" s="172" t="s">
        <v>452</v>
      </c>
      <c r="F77" s="170">
        <v>650</v>
      </c>
      <c r="G77" s="173">
        <v>23</v>
      </c>
      <c r="H77" s="173">
        <f t="shared" si="7"/>
        <v>26.45</v>
      </c>
      <c r="I77" s="173">
        <f t="shared" si="9"/>
        <v>17192.5</v>
      </c>
      <c r="J77" s="173">
        <f t="shared" si="8"/>
        <v>20459.075000000001</v>
      </c>
    </row>
    <row r="78" spans="1:10" x14ac:dyDescent="0.25">
      <c r="A78" s="170" t="s">
        <v>453</v>
      </c>
      <c r="B78" s="171" t="s">
        <v>454</v>
      </c>
      <c r="C78" s="170" t="s">
        <v>1024</v>
      </c>
      <c r="D78" s="171" t="s">
        <v>1028</v>
      </c>
      <c r="E78" s="172" t="s">
        <v>452</v>
      </c>
      <c r="F78" s="170">
        <v>2</v>
      </c>
      <c r="G78" s="173">
        <v>504</v>
      </c>
      <c r="H78" s="173">
        <f t="shared" si="7"/>
        <v>579.59999999999991</v>
      </c>
      <c r="I78" s="173">
        <f t="shared" si="9"/>
        <v>1159.1999999999998</v>
      </c>
      <c r="J78" s="173">
        <f t="shared" si="8"/>
        <v>1379.4479999999996</v>
      </c>
    </row>
    <row r="79" spans="1:10" ht="30" x14ac:dyDescent="0.25">
      <c r="A79" s="170" t="s">
        <v>453</v>
      </c>
      <c r="B79" s="171" t="s">
        <v>454</v>
      </c>
      <c r="C79" s="174" t="s">
        <v>1029</v>
      </c>
      <c r="D79" s="171" t="s">
        <v>449</v>
      </c>
      <c r="E79" s="172" t="s">
        <v>452</v>
      </c>
      <c r="F79" s="170">
        <v>4</v>
      </c>
      <c r="G79" s="173">
        <v>504</v>
      </c>
      <c r="H79" s="173">
        <f t="shared" si="7"/>
        <v>579.59999999999991</v>
      </c>
      <c r="I79" s="173">
        <f t="shared" si="9"/>
        <v>2318.3999999999996</v>
      </c>
      <c r="J79" s="173">
        <f t="shared" si="8"/>
        <v>2758.8959999999993</v>
      </c>
    </row>
    <row r="80" spans="1:10" ht="30" x14ac:dyDescent="0.25">
      <c r="A80" s="170" t="s">
        <v>453</v>
      </c>
      <c r="B80" s="171" t="s">
        <v>454</v>
      </c>
      <c r="C80" s="170" t="s">
        <v>1024</v>
      </c>
      <c r="D80" s="171" t="s">
        <v>1030</v>
      </c>
      <c r="E80" s="172" t="s">
        <v>452</v>
      </c>
      <c r="F80" s="170">
        <v>1</v>
      </c>
      <c r="G80" s="173">
        <v>234</v>
      </c>
      <c r="H80" s="173">
        <f t="shared" si="7"/>
        <v>269.09999999999997</v>
      </c>
      <c r="I80" s="173">
        <f t="shared" si="9"/>
        <v>269.09999999999997</v>
      </c>
      <c r="J80" s="173">
        <f t="shared" si="8"/>
        <v>320.22899999999993</v>
      </c>
    </row>
    <row r="81" spans="1:10" ht="30" x14ac:dyDescent="0.25">
      <c r="A81" s="170" t="s">
        <v>453</v>
      </c>
      <c r="B81" s="171" t="s">
        <v>454</v>
      </c>
      <c r="C81" s="170" t="s">
        <v>1024</v>
      </c>
      <c r="D81" s="171" t="s">
        <v>265</v>
      </c>
      <c r="E81" s="172" t="s">
        <v>452</v>
      </c>
      <c r="F81" s="170">
        <v>1</v>
      </c>
      <c r="G81" s="173">
        <v>2035</v>
      </c>
      <c r="H81" s="173">
        <f t="shared" si="7"/>
        <v>2340.25</v>
      </c>
      <c r="I81" s="173">
        <f t="shared" si="9"/>
        <v>2340.25</v>
      </c>
      <c r="J81" s="173">
        <f t="shared" si="8"/>
        <v>2784.8975</v>
      </c>
    </row>
    <row r="82" spans="1:10" x14ac:dyDescent="0.25">
      <c r="A82" s="170" t="s">
        <v>453</v>
      </c>
      <c r="B82" s="171" t="s">
        <v>454</v>
      </c>
      <c r="C82" s="170"/>
      <c r="D82" s="171" t="s">
        <v>1031</v>
      </c>
      <c r="E82" s="172" t="s">
        <v>452</v>
      </c>
      <c r="F82" s="170">
        <v>2</v>
      </c>
      <c r="G82" s="173">
        <v>234</v>
      </c>
      <c r="H82" s="173">
        <f t="shared" si="7"/>
        <v>269.09999999999997</v>
      </c>
      <c r="I82" s="173">
        <f t="shared" si="9"/>
        <v>538.19999999999993</v>
      </c>
      <c r="J82" s="173">
        <f t="shared" si="8"/>
        <v>640.45799999999986</v>
      </c>
    </row>
    <row r="83" spans="1:10" ht="30" x14ac:dyDescent="0.25">
      <c r="A83" s="170" t="s">
        <v>453</v>
      </c>
      <c r="B83" s="171" t="s">
        <v>454</v>
      </c>
      <c r="C83" s="170" t="s">
        <v>1027</v>
      </c>
      <c r="D83" s="171" t="s">
        <v>263</v>
      </c>
      <c r="E83" s="172" t="s">
        <v>452</v>
      </c>
      <c r="F83" s="170">
        <v>150</v>
      </c>
      <c r="G83" s="173">
        <v>17.5</v>
      </c>
      <c r="H83" s="173">
        <f t="shared" si="7"/>
        <v>20.125</v>
      </c>
      <c r="I83" s="173">
        <f t="shared" si="9"/>
        <v>3018.75</v>
      </c>
      <c r="J83" s="173">
        <f t="shared" si="8"/>
        <v>3592.3125</v>
      </c>
    </row>
    <row r="84" spans="1:10" ht="30" x14ac:dyDescent="0.25">
      <c r="A84" s="170" t="s">
        <v>453</v>
      </c>
      <c r="B84" s="171" t="s">
        <v>454</v>
      </c>
      <c r="C84" s="170" t="s">
        <v>1027</v>
      </c>
      <c r="D84" s="171" t="s">
        <v>430</v>
      </c>
      <c r="E84" s="172" t="s">
        <v>452</v>
      </c>
      <c r="F84" s="170">
        <v>10</v>
      </c>
      <c r="G84" s="173">
        <v>200</v>
      </c>
      <c r="H84" s="173">
        <f t="shared" si="7"/>
        <v>229.99999999999997</v>
      </c>
      <c r="I84" s="173">
        <f t="shared" si="9"/>
        <v>2299.9999999999995</v>
      </c>
      <c r="J84" s="173">
        <f t="shared" si="8"/>
        <v>2736.9999999999995</v>
      </c>
    </row>
    <row r="85" spans="1:10" ht="45" x14ac:dyDescent="0.25">
      <c r="A85" s="170" t="s">
        <v>453</v>
      </c>
      <c r="B85" s="171" t="s">
        <v>454</v>
      </c>
      <c r="C85" s="170" t="s">
        <v>1032</v>
      </c>
      <c r="D85" s="171" t="s">
        <v>590</v>
      </c>
      <c r="E85" s="172" t="s">
        <v>452</v>
      </c>
      <c r="F85" s="170">
        <v>5</v>
      </c>
      <c r="G85" s="173">
        <v>468</v>
      </c>
      <c r="H85" s="173">
        <f t="shared" si="7"/>
        <v>538.19999999999993</v>
      </c>
      <c r="I85" s="173">
        <f t="shared" si="9"/>
        <v>2690.9999999999995</v>
      </c>
      <c r="J85" s="173">
        <f t="shared" si="8"/>
        <v>3202.2899999999995</v>
      </c>
    </row>
    <row r="86" spans="1:10" ht="45" x14ac:dyDescent="0.25">
      <c r="A86" s="170" t="s">
        <v>453</v>
      </c>
      <c r="B86" s="171" t="s">
        <v>454</v>
      </c>
      <c r="C86" s="170" t="s">
        <v>1032</v>
      </c>
      <c r="D86" s="171" t="s">
        <v>435</v>
      </c>
      <c r="E86" s="172" t="s">
        <v>452</v>
      </c>
      <c r="F86" s="170">
        <v>8</v>
      </c>
      <c r="G86" s="173">
        <v>468</v>
      </c>
      <c r="H86" s="173">
        <f t="shared" si="7"/>
        <v>538.19999999999993</v>
      </c>
      <c r="I86" s="173">
        <f t="shared" si="9"/>
        <v>4305.5999999999995</v>
      </c>
      <c r="J86" s="173">
        <f t="shared" si="8"/>
        <v>5123.6639999999989</v>
      </c>
    </row>
    <row r="87" spans="1:10" x14ac:dyDescent="0.25">
      <c r="A87" s="170" t="s">
        <v>453</v>
      </c>
      <c r="B87" s="171" t="s">
        <v>454</v>
      </c>
      <c r="C87" s="174" t="s">
        <v>1032</v>
      </c>
      <c r="D87" s="171" t="s">
        <v>1033</v>
      </c>
      <c r="E87" s="172" t="s">
        <v>452</v>
      </c>
      <c r="F87" s="170">
        <v>2</v>
      </c>
      <c r="G87" s="173">
        <v>550</v>
      </c>
      <c r="H87" s="173">
        <f t="shared" si="7"/>
        <v>632.5</v>
      </c>
      <c r="I87" s="173">
        <f t="shared" si="9"/>
        <v>1265</v>
      </c>
      <c r="J87" s="173">
        <f t="shared" si="8"/>
        <v>1505.35</v>
      </c>
    </row>
    <row r="88" spans="1:10" x14ac:dyDescent="0.25">
      <c r="A88" s="170" t="s">
        <v>453</v>
      </c>
      <c r="B88" s="171" t="s">
        <v>454</v>
      </c>
      <c r="C88" s="170" t="s">
        <v>1034</v>
      </c>
      <c r="D88" s="171" t="s">
        <v>436</v>
      </c>
      <c r="E88" s="172" t="s">
        <v>452</v>
      </c>
      <c r="F88" s="170">
        <v>24</v>
      </c>
      <c r="G88" s="173">
        <v>65</v>
      </c>
      <c r="H88" s="173">
        <f t="shared" si="7"/>
        <v>74.75</v>
      </c>
      <c r="I88" s="173">
        <f t="shared" si="9"/>
        <v>1794</v>
      </c>
      <c r="J88" s="173">
        <f t="shared" si="8"/>
        <v>2134.86</v>
      </c>
    </row>
    <row r="89" spans="1:10" ht="30" x14ac:dyDescent="0.25">
      <c r="A89" s="170" t="s">
        <v>453</v>
      </c>
      <c r="B89" s="171" t="s">
        <v>454</v>
      </c>
      <c r="C89" s="174" t="s">
        <v>1035</v>
      </c>
      <c r="D89" s="171" t="s">
        <v>1036</v>
      </c>
      <c r="E89" s="172" t="s">
        <v>452</v>
      </c>
      <c r="F89" s="170">
        <v>50</v>
      </c>
      <c r="G89" s="173">
        <v>233</v>
      </c>
      <c r="H89" s="173">
        <f t="shared" si="7"/>
        <v>267.95</v>
      </c>
      <c r="I89" s="173">
        <f t="shared" si="9"/>
        <v>13397.5</v>
      </c>
      <c r="J89" s="173">
        <f t="shared" si="8"/>
        <v>15943.025</v>
      </c>
    </row>
    <row r="90" spans="1:10" x14ac:dyDescent="0.25">
      <c r="A90" s="170" t="s">
        <v>453</v>
      </c>
      <c r="B90" s="171" t="s">
        <v>454</v>
      </c>
      <c r="C90" s="174" t="s">
        <v>1035</v>
      </c>
      <c r="D90" s="171" t="s">
        <v>1025</v>
      </c>
      <c r="E90" s="172" t="s">
        <v>452</v>
      </c>
      <c r="F90" s="170">
        <v>14</v>
      </c>
      <c r="G90" s="173">
        <v>299</v>
      </c>
      <c r="H90" s="173">
        <f t="shared" si="7"/>
        <v>343.84999999999997</v>
      </c>
      <c r="I90" s="173">
        <f t="shared" si="9"/>
        <v>4813.8999999999996</v>
      </c>
      <c r="J90" s="173">
        <f t="shared" si="8"/>
        <v>5728.5409999999993</v>
      </c>
    </row>
    <row r="91" spans="1:10" ht="30" x14ac:dyDescent="0.25">
      <c r="A91" s="170" t="s">
        <v>453</v>
      </c>
      <c r="B91" s="171" t="s">
        <v>454</v>
      </c>
      <c r="C91" s="170" t="s">
        <v>1034</v>
      </c>
      <c r="D91" s="171" t="s">
        <v>440</v>
      </c>
      <c r="E91" s="172" t="s">
        <v>452</v>
      </c>
      <c r="F91" s="170">
        <v>240</v>
      </c>
      <c r="G91" s="173">
        <v>30</v>
      </c>
      <c r="H91" s="173">
        <f t="shared" si="7"/>
        <v>34.5</v>
      </c>
      <c r="I91" s="173">
        <f t="shared" si="9"/>
        <v>8280</v>
      </c>
      <c r="J91" s="173">
        <f t="shared" si="8"/>
        <v>9853.1999999999989</v>
      </c>
    </row>
    <row r="92" spans="1:10" ht="30" x14ac:dyDescent="0.25">
      <c r="A92" s="170" t="s">
        <v>453</v>
      </c>
      <c r="B92" s="171" t="s">
        <v>454</v>
      </c>
      <c r="C92" s="170" t="s">
        <v>1034</v>
      </c>
      <c r="D92" s="171" t="s">
        <v>444</v>
      </c>
      <c r="E92" s="172" t="s">
        <v>452</v>
      </c>
      <c r="F92" s="170">
        <v>25</v>
      </c>
      <c r="G92" s="173">
        <v>148</v>
      </c>
      <c r="H92" s="173">
        <f t="shared" si="7"/>
        <v>170.2</v>
      </c>
      <c r="I92" s="173">
        <f t="shared" si="9"/>
        <v>4255</v>
      </c>
      <c r="J92" s="173">
        <f t="shared" si="8"/>
        <v>5063.45</v>
      </c>
    </row>
    <row r="93" spans="1:10" ht="30" x14ac:dyDescent="0.25">
      <c r="A93" s="170" t="s">
        <v>453</v>
      </c>
      <c r="B93" s="171" t="s">
        <v>454</v>
      </c>
      <c r="C93" s="170" t="s">
        <v>1027</v>
      </c>
      <c r="D93" s="171" t="s">
        <v>446</v>
      </c>
      <c r="E93" s="172" t="s">
        <v>452</v>
      </c>
      <c r="F93" s="170">
        <v>1741</v>
      </c>
      <c r="G93" s="173">
        <v>23</v>
      </c>
      <c r="H93" s="173">
        <f t="shared" si="7"/>
        <v>26.45</v>
      </c>
      <c r="I93" s="173">
        <f t="shared" si="9"/>
        <v>46049.45</v>
      </c>
      <c r="J93" s="173">
        <f t="shared" si="8"/>
        <v>54798.845499999996</v>
      </c>
    </row>
    <row r="94" spans="1:10" ht="30" x14ac:dyDescent="0.25">
      <c r="A94" s="170" t="s">
        <v>453</v>
      </c>
      <c r="B94" s="171" t="s">
        <v>454</v>
      </c>
      <c r="C94" s="174" t="s">
        <v>1029</v>
      </c>
      <c r="D94" s="171" t="s">
        <v>447</v>
      </c>
      <c r="E94" s="172" t="s">
        <v>452</v>
      </c>
      <c r="F94" s="170">
        <v>20</v>
      </c>
      <c r="G94" s="173">
        <v>261</v>
      </c>
      <c r="H94" s="173">
        <f t="shared" si="7"/>
        <v>300.14999999999998</v>
      </c>
      <c r="I94" s="173">
        <f t="shared" si="9"/>
        <v>6003</v>
      </c>
      <c r="J94" s="173">
        <f t="shared" si="8"/>
        <v>7143.57</v>
      </c>
    </row>
    <row r="95" spans="1:10" ht="30" x14ac:dyDescent="0.25">
      <c r="A95" s="170" t="s">
        <v>453</v>
      </c>
      <c r="B95" s="171" t="s">
        <v>454</v>
      </c>
      <c r="C95" s="174" t="s">
        <v>1029</v>
      </c>
      <c r="D95" s="171" t="s">
        <v>448</v>
      </c>
      <c r="E95" s="172" t="s">
        <v>452</v>
      </c>
      <c r="F95" s="170">
        <v>1</v>
      </c>
      <c r="G95" s="173">
        <v>499</v>
      </c>
      <c r="H95" s="173">
        <f t="shared" si="7"/>
        <v>573.84999999999991</v>
      </c>
      <c r="I95" s="173">
        <f t="shared" si="9"/>
        <v>573.84999999999991</v>
      </c>
      <c r="J95" s="173">
        <f t="shared" si="8"/>
        <v>682.88149999999985</v>
      </c>
    </row>
    <row r="96" spans="1:10" x14ac:dyDescent="0.25">
      <c r="A96" s="170" t="s">
        <v>453</v>
      </c>
      <c r="B96" s="171" t="s">
        <v>454</v>
      </c>
      <c r="C96" s="174" t="s">
        <v>1029</v>
      </c>
      <c r="D96" s="171" t="s">
        <v>1037</v>
      </c>
      <c r="E96" s="172" t="s">
        <v>452</v>
      </c>
      <c r="F96" s="170">
        <v>2</v>
      </c>
      <c r="G96" s="173">
        <v>550</v>
      </c>
      <c r="H96" s="173">
        <f t="shared" si="7"/>
        <v>632.5</v>
      </c>
      <c r="I96" s="173">
        <f t="shared" si="9"/>
        <v>1265</v>
      </c>
      <c r="J96" s="173">
        <f t="shared" si="8"/>
        <v>1505.35</v>
      </c>
    </row>
    <row r="97" spans="1:10" ht="30" x14ac:dyDescent="0.25">
      <c r="A97" s="170" t="s">
        <v>453</v>
      </c>
      <c r="B97" s="171" t="s">
        <v>454</v>
      </c>
      <c r="C97" s="174" t="s">
        <v>1029</v>
      </c>
      <c r="D97" s="171" t="s">
        <v>449</v>
      </c>
      <c r="E97" s="172" t="s">
        <v>452</v>
      </c>
      <c r="F97" s="170">
        <v>18</v>
      </c>
      <c r="G97" s="173">
        <v>504</v>
      </c>
      <c r="H97" s="173">
        <f t="shared" si="7"/>
        <v>579.59999999999991</v>
      </c>
      <c r="I97" s="173">
        <f t="shared" si="9"/>
        <v>10432.799999999999</v>
      </c>
      <c r="J97" s="173">
        <f t="shared" si="8"/>
        <v>12415.031999999999</v>
      </c>
    </row>
    <row r="98" spans="1:10" ht="30" x14ac:dyDescent="0.25">
      <c r="A98" s="170" t="s">
        <v>453</v>
      </c>
      <c r="B98" s="171" t="s">
        <v>454</v>
      </c>
      <c r="C98" s="174" t="s">
        <v>1029</v>
      </c>
      <c r="D98" s="171" t="s">
        <v>265</v>
      </c>
      <c r="E98" s="172" t="s">
        <v>452</v>
      </c>
      <c r="F98" s="170">
        <v>7</v>
      </c>
      <c r="G98" s="173">
        <v>2035</v>
      </c>
      <c r="H98" s="173">
        <f t="shared" si="7"/>
        <v>2340.25</v>
      </c>
      <c r="I98" s="173">
        <f t="shared" si="9"/>
        <v>16381.75</v>
      </c>
      <c r="J98" s="173">
        <f t="shared" si="8"/>
        <v>19494.282499999998</v>
      </c>
    </row>
    <row r="99" spans="1:10" ht="45" x14ac:dyDescent="0.25">
      <c r="A99" s="170" t="s">
        <v>453</v>
      </c>
      <c r="B99" s="171" t="s">
        <v>454</v>
      </c>
      <c r="C99" s="170" t="s">
        <v>1034</v>
      </c>
      <c r="D99" s="171" t="s">
        <v>591</v>
      </c>
      <c r="E99" s="172" t="s">
        <v>452</v>
      </c>
      <c r="F99" s="170">
        <v>2</v>
      </c>
      <c r="G99" s="173">
        <v>1824</v>
      </c>
      <c r="H99" s="173">
        <f t="shared" si="7"/>
        <v>2097.6</v>
      </c>
      <c r="I99" s="173">
        <f t="shared" si="9"/>
        <v>4195.2</v>
      </c>
      <c r="J99" s="173">
        <f t="shared" si="8"/>
        <v>4992.2879999999996</v>
      </c>
    </row>
    <row r="100" spans="1:10" ht="30" x14ac:dyDescent="0.25">
      <c r="A100" s="170" t="s">
        <v>453</v>
      </c>
      <c r="B100" s="171" t="s">
        <v>454</v>
      </c>
      <c r="C100" s="170" t="s">
        <v>1034</v>
      </c>
      <c r="D100" s="171" t="s">
        <v>1038</v>
      </c>
      <c r="E100" s="172" t="s">
        <v>452</v>
      </c>
      <c r="F100" s="170">
        <v>2</v>
      </c>
      <c r="G100" s="173">
        <v>1824</v>
      </c>
      <c r="H100" s="173">
        <f t="shared" si="7"/>
        <v>2097.6</v>
      </c>
      <c r="I100" s="173">
        <f t="shared" si="9"/>
        <v>4195.2</v>
      </c>
      <c r="J100" s="173">
        <f t="shared" si="8"/>
        <v>4992.2879999999996</v>
      </c>
    </row>
    <row r="101" spans="1:10" x14ac:dyDescent="0.25">
      <c r="A101" s="170" t="s">
        <v>453</v>
      </c>
      <c r="B101" s="171" t="s">
        <v>454</v>
      </c>
      <c r="C101" s="170" t="s">
        <v>1034</v>
      </c>
      <c r="D101" s="171" t="s">
        <v>1039</v>
      </c>
      <c r="E101" s="172" t="s">
        <v>452</v>
      </c>
      <c r="F101" s="170">
        <v>3</v>
      </c>
      <c r="G101" s="173">
        <v>92</v>
      </c>
      <c r="H101" s="173">
        <f t="shared" si="7"/>
        <v>105.8</v>
      </c>
      <c r="I101" s="173">
        <f t="shared" si="9"/>
        <v>317.39999999999998</v>
      </c>
      <c r="J101" s="173">
        <f t="shared" si="8"/>
        <v>377.70599999999996</v>
      </c>
    </row>
    <row r="102" spans="1:10" x14ac:dyDescent="0.25">
      <c r="A102" s="170" t="s">
        <v>453</v>
      </c>
      <c r="B102" s="171" t="s">
        <v>454</v>
      </c>
      <c r="C102" s="174" t="s">
        <v>1035</v>
      </c>
      <c r="D102" s="171" t="s">
        <v>1031</v>
      </c>
      <c r="E102" s="172" t="s">
        <v>452</v>
      </c>
      <c r="F102" s="170">
        <v>10</v>
      </c>
      <c r="G102" s="173">
        <v>234</v>
      </c>
      <c r="H102" s="173">
        <f t="shared" si="7"/>
        <v>269.09999999999997</v>
      </c>
      <c r="I102" s="173">
        <f t="shared" si="9"/>
        <v>2690.9999999999995</v>
      </c>
      <c r="J102" s="173">
        <f t="shared" si="8"/>
        <v>3202.2899999999995</v>
      </c>
    </row>
    <row r="103" spans="1:10" x14ac:dyDescent="0.25">
      <c r="A103" s="170" t="s">
        <v>453</v>
      </c>
      <c r="B103" s="171" t="s">
        <v>454</v>
      </c>
      <c r="C103" s="174" t="s">
        <v>1035</v>
      </c>
      <c r="D103" s="171" t="s">
        <v>1040</v>
      </c>
      <c r="E103" s="172" t="s">
        <v>452</v>
      </c>
      <c r="F103" s="170">
        <v>8</v>
      </c>
      <c r="G103" s="173">
        <v>234</v>
      </c>
      <c r="H103" s="173">
        <f t="shared" si="7"/>
        <v>269.09999999999997</v>
      </c>
      <c r="I103" s="173">
        <f t="shared" si="9"/>
        <v>2152.7999999999997</v>
      </c>
      <c r="J103" s="173">
        <f t="shared" si="8"/>
        <v>2561.8319999999994</v>
      </c>
    </row>
    <row r="104" spans="1:10" x14ac:dyDescent="0.25">
      <c r="A104" s="170" t="s">
        <v>453</v>
      </c>
      <c r="B104" s="171" t="s">
        <v>454</v>
      </c>
      <c r="C104" s="174" t="s">
        <v>1035</v>
      </c>
      <c r="D104" s="171" t="s">
        <v>593</v>
      </c>
      <c r="E104" s="172" t="s">
        <v>452</v>
      </c>
      <c r="F104" s="170">
        <v>4</v>
      </c>
      <c r="G104" s="173">
        <v>1700</v>
      </c>
      <c r="H104" s="173">
        <f t="shared" si="7"/>
        <v>1954.9999999999998</v>
      </c>
      <c r="I104" s="173">
        <f t="shared" si="9"/>
        <v>7819.9999999999991</v>
      </c>
      <c r="J104" s="173">
        <f t="shared" si="8"/>
        <v>9305.7999999999993</v>
      </c>
    </row>
    <row r="105" spans="1:10" x14ac:dyDescent="0.25">
      <c r="A105" s="240" t="s">
        <v>1041</v>
      </c>
      <c r="B105" s="241"/>
      <c r="C105" s="241"/>
      <c r="D105" s="241"/>
      <c r="E105" s="241"/>
      <c r="F105" s="241"/>
      <c r="G105" s="241"/>
      <c r="H105" s="241"/>
      <c r="I105" s="242"/>
      <c r="J105" s="179">
        <f>SUM(J74:J104)</f>
        <v>214213.22089999999</v>
      </c>
    </row>
    <row r="106" spans="1:10" ht="30" x14ac:dyDescent="0.25">
      <c r="A106" s="170" t="s">
        <v>604</v>
      </c>
      <c r="B106" s="171" t="s">
        <v>605</v>
      </c>
      <c r="C106" s="170" t="s">
        <v>1042</v>
      </c>
      <c r="D106" s="171" t="s">
        <v>633</v>
      </c>
      <c r="E106" s="172" t="s">
        <v>452</v>
      </c>
      <c r="F106" s="170">
        <v>2000</v>
      </c>
      <c r="G106" s="173">
        <v>0.12</v>
      </c>
      <c r="H106" s="173">
        <f t="shared" si="7"/>
        <v>0.13799999999999998</v>
      </c>
      <c r="I106" s="173">
        <f>H106*F106</f>
        <v>275.99999999999994</v>
      </c>
      <c r="J106" s="173">
        <f t="shared" ref="J106:J169" si="10">I106*1.19</f>
        <v>328.43999999999994</v>
      </c>
    </row>
    <row r="107" spans="1:10" ht="30" x14ac:dyDescent="0.25">
      <c r="A107" s="170" t="s">
        <v>604</v>
      </c>
      <c r="B107" s="171" t="s">
        <v>605</v>
      </c>
      <c r="C107" s="174" t="s">
        <v>1043</v>
      </c>
      <c r="D107" s="171" t="s">
        <v>638</v>
      </c>
      <c r="E107" s="172" t="s">
        <v>452</v>
      </c>
      <c r="F107" s="170">
        <v>1</v>
      </c>
      <c r="G107" s="173">
        <v>450</v>
      </c>
      <c r="H107" s="173">
        <f t="shared" si="7"/>
        <v>517.5</v>
      </c>
      <c r="I107" s="173">
        <f t="shared" ref="I107:I170" si="11">H107*F107</f>
        <v>517.5</v>
      </c>
      <c r="J107" s="173">
        <f t="shared" si="10"/>
        <v>615.82499999999993</v>
      </c>
    </row>
    <row r="108" spans="1:10" ht="30" x14ac:dyDescent="0.25">
      <c r="A108" s="170" t="s">
        <v>604</v>
      </c>
      <c r="B108" s="171" t="s">
        <v>605</v>
      </c>
      <c r="C108" s="170" t="s">
        <v>1042</v>
      </c>
      <c r="D108" s="171" t="s">
        <v>1044</v>
      </c>
      <c r="E108" s="172" t="s">
        <v>452</v>
      </c>
      <c r="F108" s="170">
        <v>500</v>
      </c>
      <c r="G108" s="173">
        <v>0.04</v>
      </c>
      <c r="H108" s="173">
        <f t="shared" si="7"/>
        <v>4.5999999999999999E-2</v>
      </c>
      <c r="I108" s="173">
        <f t="shared" si="11"/>
        <v>23</v>
      </c>
      <c r="J108" s="173">
        <f t="shared" si="10"/>
        <v>27.369999999999997</v>
      </c>
    </row>
    <row r="109" spans="1:10" ht="30" x14ac:dyDescent="0.25">
      <c r="A109" s="170" t="s">
        <v>604</v>
      </c>
      <c r="B109" s="171" t="s">
        <v>605</v>
      </c>
      <c r="C109" s="170" t="s">
        <v>1042</v>
      </c>
      <c r="D109" s="171" t="s">
        <v>1045</v>
      </c>
      <c r="E109" s="172" t="s">
        <v>452</v>
      </c>
      <c r="F109" s="170">
        <v>200</v>
      </c>
      <c r="G109" s="173">
        <v>0.08</v>
      </c>
      <c r="H109" s="173">
        <f t="shared" si="7"/>
        <v>9.1999999999999998E-2</v>
      </c>
      <c r="I109" s="173">
        <f t="shared" si="11"/>
        <v>18.399999999999999</v>
      </c>
      <c r="J109" s="173">
        <f t="shared" si="10"/>
        <v>21.895999999999997</v>
      </c>
    </row>
    <row r="110" spans="1:10" ht="30" x14ac:dyDescent="0.25">
      <c r="A110" s="170" t="s">
        <v>604</v>
      </c>
      <c r="B110" s="171" t="s">
        <v>605</v>
      </c>
      <c r="C110" s="174" t="s">
        <v>1032</v>
      </c>
      <c r="D110" s="171" t="s">
        <v>641</v>
      </c>
      <c r="E110" s="172" t="s">
        <v>452</v>
      </c>
      <c r="F110" s="170">
        <v>3</v>
      </c>
      <c r="G110" s="173">
        <v>435</v>
      </c>
      <c r="H110" s="173">
        <f t="shared" si="7"/>
        <v>500.24999999999994</v>
      </c>
      <c r="I110" s="173">
        <f t="shared" si="11"/>
        <v>1500.7499999999998</v>
      </c>
      <c r="J110" s="173">
        <f t="shared" si="10"/>
        <v>1785.8924999999997</v>
      </c>
    </row>
    <row r="111" spans="1:10" ht="30" x14ac:dyDescent="0.25">
      <c r="A111" s="170" t="s">
        <v>604</v>
      </c>
      <c r="B111" s="171" t="s">
        <v>605</v>
      </c>
      <c r="C111" s="174" t="s">
        <v>1032</v>
      </c>
      <c r="D111" s="171" t="s">
        <v>1046</v>
      </c>
      <c r="E111" s="172" t="s">
        <v>452</v>
      </c>
      <c r="F111" s="170">
        <v>2</v>
      </c>
      <c r="G111" s="173">
        <v>681.75</v>
      </c>
      <c r="H111" s="173">
        <f t="shared" si="7"/>
        <v>784.01249999999993</v>
      </c>
      <c r="I111" s="173">
        <f t="shared" si="11"/>
        <v>1568.0249999999999</v>
      </c>
      <c r="J111" s="173">
        <f t="shared" si="10"/>
        <v>1865.9497499999998</v>
      </c>
    </row>
    <row r="112" spans="1:10" ht="30" x14ac:dyDescent="0.25">
      <c r="A112" s="170" t="s">
        <v>604</v>
      </c>
      <c r="B112" s="171" t="s">
        <v>605</v>
      </c>
      <c r="C112" s="174" t="s">
        <v>1043</v>
      </c>
      <c r="D112" s="171" t="s">
        <v>1047</v>
      </c>
      <c r="E112" s="172" t="s">
        <v>452</v>
      </c>
      <c r="F112" s="170">
        <v>6</v>
      </c>
      <c r="G112" s="173">
        <v>680</v>
      </c>
      <c r="H112" s="173">
        <f t="shared" si="7"/>
        <v>781.99999999999989</v>
      </c>
      <c r="I112" s="173">
        <f t="shared" si="11"/>
        <v>4691.9999999999991</v>
      </c>
      <c r="J112" s="173">
        <f t="shared" si="10"/>
        <v>5583.4799999999987</v>
      </c>
    </row>
    <row r="113" spans="1:10" ht="30" x14ac:dyDescent="0.25">
      <c r="A113" s="170" t="s">
        <v>604</v>
      </c>
      <c r="B113" s="171" t="s">
        <v>605</v>
      </c>
      <c r="C113" s="174" t="s">
        <v>976</v>
      </c>
      <c r="D113" s="171" t="s">
        <v>1048</v>
      </c>
      <c r="E113" s="172" t="s">
        <v>452</v>
      </c>
      <c r="F113" s="170">
        <v>6</v>
      </c>
      <c r="G113" s="173">
        <v>200</v>
      </c>
      <c r="H113" s="173">
        <f t="shared" si="7"/>
        <v>229.99999999999997</v>
      </c>
      <c r="I113" s="173">
        <f t="shared" si="11"/>
        <v>1379.9999999999998</v>
      </c>
      <c r="J113" s="173">
        <f t="shared" si="10"/>
        <v>1642.1999999999996</v>
      </c>
    </row>
    <row r="114" spans="1:10" ht="30" x14ac:dyDescent="0.25">
      <c r="A114" s="170" t="s">
        <v>604</v>
      </c>
      <c r="B114" s="171" t="s">
        <v>605</v>
      </c>
      <c r="C114" s="174" t="s">
        <v>1043</v>
      </c>
      <c r="D114" s="171" t="s">
        <v>639</v>
      </c>
      <c r="E114" s="172" t="s">
        <v>452</v>
      </c>
      <c r="F114" s="170">
        <v>3</v>
      </c>
      <c r="G114" s="173">
        <v>1130</v>
      </c>
      <c r="H114" s="173">
        <f t="shared" si="7"/>
        <v>1299.5</v>
      </c>
      <c r="I114" s="173">
        <f t="shared" si="11"/>
        <v>3898.5</v>
      </c>
      <c r="J114" s="173">
        <f t="shared" si="10"/>
        <v>4639.2150000000001</v>
      </c>
    </row>
    <row r="115" spans="1:10" ht="30" x14ac:dyDescent="0.25">
      <c r="A115" s="170" t="s">
        <v>604</v>
      </c>
      <c r="B115" s="171" t="s">
        <v>605</v>
      </c>
      <c r="C115" s="174" t="s">
        <v>1043</v>
      </c>
      <c r="D115" s="171" t="s">
        <v>1049</v>
      </c>
      <c r="E115" s="172" t="s">
        <v>452</v>
      </c>
      <c r="F115" s="170">
        <v>2</v>
      </c>
      <c r="G115" s="173">
        <v>1372</v>
      </c>
      <c r="H115" s="173">
        <f t="shared" si="7"/>
        <v>1577.8</v>
      </c>
      <c r="I115" s="173">
        <f t="shared" si="11"/>
        <v>3155.6</v>
      </c>
      <c r="J115" s="173">
        <f t="shared" si="10"/>
        <v>3755.1639999999998</v>
      </c>
    </row>
    <row r="116" spans="1:10" ht="30" x14ac:dyDescent="0.25">
      <c r="A116" s="170" t="s">
        <v>604</v>
      </c>
      <c r="B116" s="171" t="s">
        <v>605</v>
      </c>
      <c r="C116" s="174" t="s">
        <v>1043</v>
      </c>
      <c r="D116" s="171" t="s">
        <v>1050</v>
      </c>
      <c r="E116" s="172" t="s">
        <v>452</v>
      </c>
      <c r="F116" s="170">
        <v>2</v>
      </c>
      <c r="G116" s="173">
        <v>1372</v>
      </c>
      <c r="H116" s="173">
        <f t="shared" si="7"/>
        <v>1577.8</v>
      </c>
      <c r="I116" s="173">
        <f t="shared" si="11"/>
        <v>3155.6</v>
      </c>
      <c r="J116" s="173">
        <f t="shared" si="10"/>
        <v>3755.1639999999998</v>
      </c>
    </row>
    <row r="117" spans="1:10" ht="30" x14ac:dyDescent="0.25">
      <c r="A117" s="170" t="s">
        <v>604</v>
      </c>
      <c r="B117" s="171" t="s">
        <v>605</v>
      </c>
      <c r="C117" s="170" t="s">
        <v>1042</v>
      </c>
      <c r="D117" s="171" t="s">
        <v>1051</v>
      </c>
      <c r="E117" s="172" t="s">
        <v>452</v>
      </c>
      <c r="F117" s="170">
        <v>500</v>
      </c>
      <c r="G117" s="173">
        <v>0.04</v>
      </c>
      <c r="H117" s="173">
        <f t="shared" si="7"/>
        <v>4.5999999999999999E-2</v>
      </c>
      <c r="I117" s="173">
        <f t="shared" si="11"/>
        <v>23</v>
      </c>
      <c r="J117" s="173">
        <f t="shared" si="10"/>
        <v>27.369999999999997</v>
      </c>
    </row>
    <row r="118" spans="1:10" ht="30" x14ac:dyDescent="0.25">
      <c r="A118" s="170" t="s">
        <v>604</v>
      </c>
      <c r="B118" s="171" t="s">
        <v>605</v>
      </c>
      <c r="C118" s="170" t="s">
        <v>1042</v>
      </c>
      <c r="D118" s="171" t="s">
        <v>617</v>
      </c>
      <c r="E118" s="172" t="s">
        <v>452</v>
      </c>
      <c r="F118" s="170">
        <v>10</v>
      </c>
      <c r="G118" s="173">
        <v>22</v>
      </c>
      <c r="H118" s="173">
        <f t="shared" si="7"/>
        <v>25.299999999999997</v>
      </c>
      <c r="I118" s="173">
        <f t="shared" si="11"/>
        <v>252.99999999999997</v>
      </c>
      <c r="J118" s="173">
        <f t="shared" si="10"/>
        <v>301.06999999999994</v>
      </c>
    </row>
    <row r="119" spans="1:10" ht="30" x14ac:dyDescent="0.25">
      <c r="A119" s="170" t="s">
        <v>604</v>
      </c>
      <c r="B119" s="171" t="s">
        <v>605</v>
      </c>
      <c r="C119" s="170" t="s">
        <v>1042</v>
      </c>
      <c r="D119" s="171" t="s">
        <v>615</v>
      </c>
      <c r="E119" s="172" t="s">
        <v>616</v>
      </c>
      <c r="F119" s="170">
        <v>20</v>
      </c>
      <c r="G119" s="173">
        <v>22</v>
      </c>
      <c r="H119" s="173">
        <f t="shared" si="7"/>
        <v>25.299999999999997</v>
      </c>
      <c r="I119" s="173">
        <f t="shared" si="11"/>
        <v>505.99999999999994</v>
      </c>
      <c r="J119" s="173">
        <f t="shared" si="10"/>
        <v>602.13999999999987</v>
      </c>
    </row>
    <row r="120" spans="1:10" ht="30" x14ac:dyDescent="0.25">
      <c r="A120" s="170" t="s">
        <v>604</v>
      </c>
      <c r="B120" s="171" t="s">
        <v>605</v>
      </c>
      <c r="C120" s="170" t="s">
        <v>1042</v>
      </c>
      <c r="D120" s="171" t="s">
        <v>1052</v>
      </c>
      <c r="E120" s="172" t="s">
        <v>616</v>
      </c>
      <c r="F120" s="170">
        <v>20</v>
      </c>
      <c r="G120" s="173">
        <v>24.79</v>
      </c>
      <c r="H120" s="173">
        <f t="shared" si="7"/>
        <v>28.508499999999998</v>
      </c>
      <c r="I120" s="173">
        <f t="shared" si="11"/>
        <v>570.16999999999996</v>
      </c>
      <c r="J120" s="173">
        <f t="shared" si="10"/>
        <v>678.50229999999988</v>
      </c>
    </row>
    <row r="121" spans="1:10" ht="30" x14ac:dyDescent="0.25">
      <c r="A121" s="170" t="s">
        <v>604</v>
      </c>
      <c r="B121" s="171" t="s">
        <v>605</v>
      </c>
      <c r="C121" s="170" t="s">
        <v>1042</v>
      </c>
      <c r="D121" s="171" t="s">
        <v>634</v>
      </c>
      <c r="E121" s="172" t="s">
        <v>452</v>
      </c>
      <c r="F121" s="170">
        <v>10</v>
      </c>
      <c r="G121" s="173">
        <v>6</v>
      </c>
      <c r="H121" s="173">
        <f t="shared" si="7"/>
        <v>6.8999999999999995</v>
      </c>
      <c r="I121" s="173">
        <f t="shared" si="11"/>
        <v>69</v>
      </c>
      <c r="J121" s="173">
        <f t="shared" si="10"/>
        <v>82.11</v>
      </c>
    </row>
    <row r="122" spans="1:10" ht="30" x14ac:dyDescent="0.25">
      <c r="A122" s="170" t="s">
        <v>604</v>
      </c>
      <c r="B122" s="171" t="s">
        <v>605</v>
      </c>
      <c r="C122" s="170" t="s">
        <v>1042</v>
      </c>
      <c r="D122" s="171" t="s">
        <v>630</v>
      </c>
      <c r="E122" s="172" t="s">
        <v>452</v>
      </c>
      <c r="F122" s="170">
        <v>25</v>
      </c>
      <c r="G122" s="173">
        <v>29.5</v>
      </c>
      <c r="H122" s="173">
        <f t="shared" si="7"/>
        <v>33.924999999999997</v>
      </c>
      <c r="I122" s="173">
        <f t="shared" si="11"/>
        <v>848.12499999999989</v>
      </c>
      <c r="J122" s="173">
        <f t="shared" si="10"/>
        <v>1009.2687499999998</v>
      </c>
    </row>
    <row r="123" spans="1:10" ht="30" x14ac:dyDescent="0.25">
      <c r="A123" s="170" t="s">
        <v>604</v>
      </c>
      <c r="B123" s="171" t="s">
        <v>605</v>
      </c>
      <c r="C123" s="170" t="s">
        <v>1042</v>
      </c>
      <c r="D123" s="171" t="s">
        <v>1053</v>
      </c>
      <c r="E123" s="172" t="s">
        <v>452</v>
      </c>
      <c r="F123" s="170">
        <v>1</v>
      </c>
      <c r="G123" s="173">
        <v>646.01</v>
      </c>
      <c r="H123" s="173">
        <f t="shared" si="7"/>
        <v>742.91149999999993</v>
      </c>
      <c r="I123" s="173">
        <f t="shared" si="11"/>
        <v>742.91149999999993</v>
      </c>
      <c r="J123" s="173">
        <f t="shared" si="10"/>
        <v>884.06468499999983</v>
      </c>
    </row>
    <row r="124" spans="1:10" ht="30" x14ac:dyDescent="0.25">
      <c r="A124" s="170" t="s">
        <v>604</v>
      </c>
      <c r="B124" s="171" t="s">
        <v>605</v>
      </c>
      <c r="C124" s="170" t="s">
        <v>1042</v>
      </c>
      <c r="D124" s="171" t="s">
        <v>618</v>
      </c>
      <c r="E124" s="172" t="s">
        <v>452</v>
      </c>
      <c r="F124" s="170">
        <v>4500</v>
      </c>
      <c r="G124" s="173">
        <v>1.9</v>
      </c>
      <c r="H124" s="173">
        <f t="shared" si="7"/>
        <v>2.1849999999999996</v>
      </c>
      <c r="I124" s="173">
        <f t="shared" si="11"/>
        <v>9832.4999999999982</v>
      </c>
      <c r="J124" s="173">
        <f t="shared" si="10"/>
        <v>11700.674999999997</v>
      </c>
    </row>
    <row r="125" spans="1:10" ht="30" x14ac:dyDescent="0.25">
      <c r="A125" s="170" t="s">
        <v>604</v>
      </c>
      <c r="B125" s="171" t="s">
        <v>605</v>
      </c>
      <c r="C125" s="174" t="s">
        <v>1043</v>
      </c>
      <c r="D125" s="171" t="s">
        <v>1054</v>
      </c>
      <c r="E125" s="172" t="s">
        <v>452</v>
      </c>
      <c r="F125" s="170">
        <v>1</v>
      </c>
      <c r="G125" s="173">
        <v>358</v>
      </c>
      <c r="H125" s="173">
        <f t="shared" si="7"/>
        <v>411.7</v>
      </c>
      <c r="I125" s="173">
        <f t="shared" si="11"/>
        <v>411.7</v>
      </c>
      <c r="J125" s="173">
        <f t="shared" si="10"/>
        <v>489.92299999999994</v>
      </c>
    </row>
    <row r="126" spans="1:10" ht="30" x14ac:dyDescent="0.25">
      <c r="A126" s="170" t="s">
        <v>604</v>
      </c>
      <c r="B126" s="171" t="s">
        <v>605</v>
      </c>
      <c r="C126" s="174" t="s">
        <v>1043</v>
      </c>
      <c r="D126" s="171" t="s">
        <v>640</v>
      </c>
      <c r="E126" s="172" t="s">
        <v>452</v>
      </c>
      <c r="F126" s="170">
        <v>2</v>
      </c>
      <c r="G126" s="173">
        <v>218</v>
      </c>
      <c r="H126" s="173">
        <f t="shared" si="7"/>
        <v>250.7</v>
      </c>
      <c r="I126" s="173">
        <f t="shared" si="11"/>
        <v>501.4</v>
      </c>
      <c r="J126" s="173">
        <f t="shared" si="10"/>
        <v>596.66599999999994</v>
      </c>
    </row>
    <row r="127" spans="1:10" ht="30" x14ac:dyDescent="0.25">
      <c r="A127" s="170" t="s">
        <v>604</v>
      </c>
      <c r="B127" s="171" t="s">
        <v>605</v>
      </c>
      <c r="C127" s="174" t="s">
        <v>1043</v>
      </c>
      <c r="D127" s="171" t="s">
        <v>1055</v>
      </c>
      <c r="E127" s="172" t="s">
        <v>452</v>
      </c>
      <c r="F127" s="170">
        <v>2</v>
      </c>
      <c r="G127" s="173">
        <v>480</v>
      </c>
      <c r="H127" s="173">
        <f t="shared" si="7"/>
        <v>552</v>
      </c>
      <c r="I127" s="173">
        <f t="shared" si="11"/>
        <v>1104</v>
      </c>
      <c r="J127" s="173">
        <f t="shared" si="10"/>
        <v>1313.76</v>
      </c>
    </row>
    <row r="128" spans="1:10" ht="30" x14ac:dyDescent="0.25">
      <c r="A128" s="170" t="s">
        <v>604</v>
      </c>
      <c r="B128" s="171" t="s">
        <v>605</v>
      </c>
      <c r="C128" s="170" t="s">
        <v>1042</v>
      </c>
      <c r="D128" s="171" t="s">
        <v>607</v>
      </c>
      <c r="E128" s="172" t="s">
        <v>452</v>
      </c>
      <c r="F128" s="170">
        <v>5000</v>
      </c>
      <c r="G128" s="173">
        <v>0.1</v>
      </c>
      <c r="H128" s="173">
        <f t="shared" si="7"/>
        <v>0.11499999999999999</v>
      </c>
      <c r="I128" s="173">
        <f t="shared" si="11"/>
        <v>575</v>
      </c>
      <c r="J128" s="173">
        <f t="shared" si="10"/>
        <v>684.25</v>
      </c>
    </row>
    <row r="129" spans="1:10" ht="30" x14ac:dyDescent="0.25">
      <c r="A129" s="170" t="s">
        <v>604</v>
      </c>
      <c r="B129" s="171" t="s">
        <v>605</v>
      </c>
      <c r="C129" s="170" t="s">
        <v>1042</v>
      </c>
      <c r="D129" s="171" t="s">
        <v>608</v>
      </c>
      <c r="E129" s="172" t="s">
        <v>452</v>
      </c>
      <c r="F129" s="170">
        <v>3500</v>
      </c>
      <c r="G129" s="173">
        <v>0.13</v>
      </c>
      <c r="H129" s="173">
        <f t="shared" si="7"/>
        <v>0.14949999999999999</v>
      </c>
      <c r="I129" s="173">
        <f t="shared" si="11"/>
        <v>523.25</v>
      </c>
      <c r="J129" s="173">
        <f t="shared" si="10"/>
        <v>622.66750000000002</v>
      </c>
    </row>
    <row r="130" spans="1:10" ht="30" x14ac:dyDescent="0.25">
      <c r="A130" s="170" t="s">
        <v>604</v>
      </c>
      <c r="B130" s="171" t="s">
        <v>605</v>
      </c>
      <c r="C130" s="170" t="s">
        <v>1042</v>
      </c>
      <c r="D130" s="171" t="s">
        <v>610</v>
      </c>
      <c r="E130" s="172" t="s">
        <v>452</v>
      </c>
      <c r="F130" s="170">
        <v>5</v>
      </c>
      <c r="G130" s="173">
        <v>7</v>
      </c>
      <c r="H130" s="173">
        <f t="shared" si="7"/>
        <v>8.0499999999999989</v>
      </c>
      <c r="I130" s="173">
        <f t="shared" si="11"/>
        <v>40.249999999999993</v>
      </c>
      <c r="J130" s="173">
        <f t="shared" si="10"/>
        <v>47.897499999999987</v>
      </c>
    </row>
    <row r="131" spans="1:10" ht="30" x14ac:dyDescent="0.25">
      <c r="A131" s="170" t="s">
        <v>604</v>
      </c>
      <c r="B131" s="171" t="s">
        <v>605</v>
      </c>
      <c r="C131" s="170" t="s">
        <v>1042</v>
      </c>
      <c r="D131" s="171" t="s">
        <v>1056</v>
      </c>
      <c r="E131" s="172" t="s">
        <v>452</v>
      </c>
      <c r="F131" s="170">
        <v>10</v>
      </c>
      <c r="G131" s="173">
        <v>8</v>
      </c>
      <c r="H131" s="173">
        <f t="shared" si="7"/>
        <v>9.1999999999999993</v>
      </c>
      <c r="I131" s="173">
        <f t="shared" si="11"/>
        <v>92</v>
      </c>
      <c r="J131" s="173">
        <f t="shared" si="10"/>
        <v>109.47999999999999</v>
      </c>
    </row>
    <row r="132" spans="1:10" ht="30" x14ac:dyDescent="0.25">
      <c r="A132" s="170" t="s">
        <v>604</v>
      </c>
      <c r="B132" s="171" t="s">
        <v>605</v>
      </c>
      <c r="C132" s="170" t="s">
        <v>1042</v>
      </c>
      <c r="D132" s="171" t="s">
        <v>1057</v>
      </c>
      <c r="E132" s="172" t="s">
        <v>452</v>
      </c>
      <c r="F132" s="170">
        <v>2200</v>
      </c>
      <c r="G132" s="173">
        <v>0.1</v>
      </c>
      <c r="H132" s="173">
        <f t="shared" ref="H132:H193" si="12">G132*1.15</f>
        <v>0.11499999999999999</v>
      </c>
      <c r="I132" s="173">
        <f t="shared" si="11"/>
        <v>252.99999999999997</v>
      </c>
      <c r="J132" s="173">
        <f t="shared" si="10"/>
        <v>301.06999999999994</v>
      </c>
    </row>
    <row r="133" spans="1:10" ht="30" x14ac:dyDescent="0.25">
      <c r="A133" s="170" t="s">
        <v>604</v>
      </c>
      <c r="B133" s="171" t="s">
        <v>605</v>
      </c>
      <c r="C133" s="170" t="s">
        <v>1042</v>
      </c>
      <c r="D133" s="171" t="s">
        <v>1058</v>
      </c>
      <c r="E133" s="172" t="s">
        <v>452</v>
      </c>
      <c r="F133" s="170">
        <v>1000</v>
      </c>
      <c r="G133" s="173">
        <v>0.1</v>
      </c>
      <c r="H133" s="173">
        <f t="shared" si="12"/>
        <v>0.11499999999999999</v>
      </c>
      <c r="I133" s="173">
        <f t="shared" si="11"/>
        <v>114.99999999999999</v>
      </c>
      <c r="J133" s="173">
        <f t="shared" si="10"/>
        <v>136.84999999999997</v>
      </c>
    </row>
    <row r="134" spans="1:10" ht="30" x14ac:dyDescent="0.25">
      <c r="A134" s="170" t="s">
        <v>604</v>
      </c>
      <c r="B134" s="171" t="s">
        <v>605</v>
      </c>
      <c r="C134" s="170" t="s">
        <v>1042</v>
      </c>
      <c r="D134" s="171" t="s">
        <v>609</v>
      </c>
      <c r="E134" s="172" t="s">
        <v>533</v>
      </c>
      <c r="F134" s="170">
        <v>4500</v>
      </c>
      <c r="G134" s="173">
        <v>3.5</v>
      </c>
      <c r="H134" s="173">
        <f t="shared" si="12"/>
        <v>4.0249999999999995</v>
      </c>
      <c r="I134" s="173">
        <f t="shared" si="11"/>
        <v>18112.499999999996</v>
      </c>
      <c r="J134" s="173">
        <f t="shared" si="10"/>
        <v>21553.874999999996</v>
      </c>
    </row>
    <row r="135" spans="1:10" ht="30" x14ac:dyDescent="0.25">
      <c r="A135" s="170" t="s">
        <v>604</v>
      </c>
      <c r="B135" s="171" t="s">
        <v>605</v>
      </c>
      <c r="C135" s="170" t="s">
        <v>1042</v>
      </c>
      <c r="D135" s="171" t="s">
        <v>606</v>
      </c>
      <c r="E135" s="172" t="s">
        <v>533</v>
      </c>
      <c r="F135" s="170">
        <v>2500</v>
      </c>
      <c r="G135" s="173">
        <v>3.5</v>
      </c>
      <c r="H135" s="173">
        <f t="shared" si="12"/>
        <v>4.0249999999999995</v>
      </c>
      <c r="I135" s="173">
        <f t="shared" si="11"/>
        <v>10062.499999999998</v>
      </c>
      <c r="J135" s="173">
        <f t="shared" si="10"/>
        <v>11974.374999999998</v>
      </c>
    </row>
    <row r="136" spans="1:10" ht="30" x14ac:dyDescent="0.25">
      <c r="A136" s="170" t="s">
        <v>604</v>
      </c>
      <c r="B136" s="171" t="s">
        <v>605</v>
      </c>
      <c r="C136" s="170" t="s">
        <v>1042</v>
      </c>
      <c r="D136" s="171" t="s">
        <v>614</v>
      </c>
      <c r="E136" s="172" t="s">
        <v>452</v>
      </c>
      <c r="F136" s="170">
        <v>2000</v>
      </c>
      <c r="G136" s="173">
        <v>0.1</v>
      </c>
      <c r="H136" s="173">
        <f t="shared" si="12"/>
        <v>0.11499999999999999</v>
      </c>
      <c r="I136" s="173">
        <f t="shared" si="11"/>
        <v>229.99999999999997</v>
      </c>
      <c r="J136" s="173">
        <f t="shared" si="10"/>
        <v>273.69999999999993</v>
      </c>
    </row>
    <row r="137" spans="1:10" ht="30" x14ac:dyDescent="0.25">
      <c r="A137" s="170" t="s">
        <v>604</v>
      </c>
      <c r="B137" s="171" t="s">
        <v>605</v>
      </c>
      <c r="C137" s="170" t="s">
        <v>1042</v>
      </c>
      <c r="D137" s="171" t="s">
        <v>1059</v>
      </c>
      <c r="E137" s="172" t="s">
        <v>452</v>
      </c>
      <c r="F137" s="170">
        <v>500</v>
      </c>
      <c r="G137" s="173">
        <v>0.08</v>
      </c>
      <c r="H137" s="173">
        <f t="shared" si="12"/>
        <v>9.1999999999999998E-2</v>
      </c>
      <c r="I137" s="173">
        <f t="shared" si="11"/>
        <v>46</v>
      </c>
      <c r="J137" s="173">
        <f t="shared" si="10"/>
        <v>54.739999999999995</v>
      </c>
    </row>
    <row r="138" spans="1:10" ht="30" x14ac:dyDescent="0.25">
      <c r="A138" s="170" t="s">
        <v>604</v>
      </c>
      <c r="B138" s="171" t="s">
        <v>605</v>
      </c>
      <c r="C138" s="170" t="s">
        <v>1042</v>
      </c>
      <c r="D138" s="171" t="s">
        <v>1060</v>
      </c>
      <c r="E138" s="172" t="s">
        <v>452</v>
      </c>
      <c r="F138" s="170">
        <v>200</v>
      </c>
      <c r="G138" s="173">
        <v>0.08</v>
      </c>
      <c r="H138" s="173">
        <f t="shared" si="12"/>
        <v>9.1999999999999998E-2</v>
      </c>
      <c r="I138" s="173">
        <f t="shared" si="11"/>
        <v>18.399999999999999</v>
      </c>
      <c r="J138" s="173">
        <f t="shared" si="10"/>
        <v>21.895999999999997</v>
      </c>
    </row>
    <row r="139" spans="1:10" ht="30" x14ac:dyDescent="0.25">
      <c r="A139" s="170" t="s">
        <v>604</v>
      </c>
      <c r="B139" s="171" t="s">
        <v>605</v>
      </c>
      <c r="C139" s="174" t="s">
        <v>1043</v>
      </c>
      <c r="D139" s="171" t="s">
        <v>1061</v>
      </c>
      <c r="E139" s="172" t="s">
        <v>452</v>
      </c>
      <c r="F139" s="170">
        <v>5</v>
      </c>
      <c r="G139" s="173">
        <v>832.61</v>
      </c>
      <c r="H139" s="173">
        <f t="shared" si="12"/>
        <v>957.50149999999996</v>
      </c>
      <c r="I139" s="173">
        <f t="shared" si="11"/>
        <v>4787.5074999999997</v>
      </c>
      <c r="J139" s="173">
        <f t="shared" si="10"/>
        <v>5697.1339249999992</v>
      </c>
    </row>
    <row r="140" spans="1:10" ht="30" x14ac:dyDescent="0.25">
      <c r="A140" s="170" t="s">
        <v>604</v>
      </c>
      <c r="B140" s="171" t="s">
        <v>605</v>
      </c>
      <c r="C140" s="174" t="s">
        <v>1043</v>
      </c>
      <c r="D140" s="171" t="s">
        <v>642</v>
      </c>
      <c r="E140" s="172" t="s">
        <v>452</v>
      </c>
      <c r="F140" s="170">
        <v>18</v>
      </c>
      <c r="G140" s="173">
        <v>332.94</v>
      </c>
      <c r="H140" s="173">
        <f t="shared" si="12"/>
        <v>382.88099999999997</v>
      </c>
      <c r="I140" s="173">
        <f t="shared" si="11"/>
        <v>6891.8579999999993</v>
      </c>
      <c r="J140" s="173">
        <f t="shared" si="10"/>
        <v>8201.3110199999992</v>
      </c>
    </row>
    <row r="141" spans="1:10" ht="30" x14ac:dyDescent="0.25">
      <c r="A141" s="170" t="s">
        <v>604</v>
      </c>
      <c r="B141" s="171" t="s">
        <v>605</v>
      </c>
      <c r="C141" s="174" t="s">
        <v>1043</v>
      </c>
      <c r="D141" s="171" t="s">
        <v>1062</v>
      </c>
      <c r="E141" s="172" t="s">
        <v>452</v>
      </c>
      <c r="F141" s="170">
        <v>4</v>
      </c>
      <c r="G141" s="173">
        <v>800</v>
      </c>
      <c r="H141" s="173">
        <f t="shared" si="12"/>
        <v>919.99999999999989</v>
      </c>
      <c r="I141" s="173">
        <f t="shared" si="11"/>
        <v>3679.9999999999995</v>
      </c>
      <c r="J141" s="173">
        <f t="shared" si="10"/>
        <v>4379.1999999999989</v>
      </c>
    </row>
    <row r="142" spans="1:10" ht="30" x14ac:dyDescent="0.25">
      <c r="A142" s="170" t="s">
        <v>604</v>
      </c>
      <c r="B142" s="171" t="s">
        <v>605</v>
      </c>
      <c r="C142" s="170" t="s">
        <v>1063</v>
      </c>
      <c r="D142" s="171" t="s">
        <v>1064</v>
      </c>
      <c r="E142" s="172" t="s">
        <v>452</v>
      </c>
      <c r="F142" s="170">
        <v>3000</v>
      </c>
      <c r="G142" s="173">
        <v>0.04</v>
      </c>
      <c r="H142" s="173">
        <f t="shared" si="12"/>
        <v>4.5999999999999999E-2</v>
      </c>
      <c r="I142" s="173">
        <f t="shared" si="11"/>
        <v>138</v>
      </c>
      <c r="J142" s="173">
        <f t="shared" si="10"/>
        <v>164.22</v>
      </c>
    </row>
    <row r="143" spans="1:10" ht="30" x14ac:dyDescent="0.25">
      <c r="A143" s="170" t="s">
        <v>604</v>
      </c>
      <c r="B143" s="171" t="s">
        <v>605</v>
      </c>
      <c r="C143" s="170" t="s">
        <v>1063</v>
      </c>
      <c r="D143" s="171" t="s">
        <v>613</v>
      </c>
      <c r="E143" s="172" t="s">
        <v>452</v>
      </c>
      <c r="F143" s="170">
        <v>4000</v>
      </c>
      <c r="G143" s="173">
        <v>7.0000000000000007E-2</v>
      </c>
      <c r="H143" s="173">
        <f t="shared" si="12"/>
        <v>8.0500000000000002E-2</v>
      </c>
      <c r="I143" s="173">
        <f t="shared" si="11"/>
        <v>322</v>
      </c>
      <c r="J143" s="173">
        <f t="shared" si="10"/>
        <v>383.18</v>
      </c>
    </row>
    <row r="144" spans="1:10" ht="30" x14ac:dyDescent="0.25">
      <c r="A144" s="170" t="s">
        <v>604</v>
      </c>
      <c r="B144" s="171" t="s">
        <v>605</v>
      </c>
      <c r="C144" s="170" t="s">
        <v>1042</v>
      </c>
      <c r="D144" s="171" t="s">
        <v>1065</v>
      </c>
      <c r="E144" s="172" t="s">
        <v>452</v>
      </c>
      <c r="F144" s="170">
        <v>500</v>
      </c>
      <c r="G144" s="173">
        <v>0.1</v>
      </c>
      <c r="H144" s="173">
        <f t="shared" si="12"/>
        <v>0.11499999999999999</v>
      </c>
      <c r="I144" s="173">
        <f t="shared" si="11"/>
        <v>57.499999999999993</v>
      </c>
      <c r="J144" s="173">
        <f t="shared" si="10"/>
        <v>68.424999999999983</v>
      </c>
    </row>
    <row r="145" spans="1:10" ht="30" x14ac:dyDescent="0.25">
      <c r="A145" s="170" t="s">
        <v>604</v>
      </c>
      <c r="B145" s="171" t="s">
        <v>605</v>
      </c>
      <c r="C145" s="170" t="s">
        <v>1063</v>
      </c>
      <c r="D145" s="171" t="s">
        <v>1066</v>
      </c>
      <c r="E145" s="172" t="s">
        <v>452</v>
      </c>
      <c r="F145" s="170">
        <v>2000</v>
      </c>
      <c r="G145" s="173">
        <v>0.08</v>
      </c>
      <c r="H145" s="173">
        <f t="shared" si="12"/>
        <v>9.1999999999999998E-2</v>
      </c>
      <c r="I145" s="173">
        <f t="shared" si="11"/>
        <v>184</v>
      </c>
      <c r="J145" s="173">
        <f t="shared" si="10"/>
        <v>218.95999999999998</v>
      </c>
    </row>
    <row r="146" spans="1:10" ht="30" x14ac:dyDescent="0.25">
      <c r="A146" s="170" t="s">
        <v>604</v>
      </c>
      <c r="B146" s="171" t="s">
        <v>605</v>
      </c>
      <c r="C146" s="170" t="s">
        <v>1063</v>
      </c>
      <c r="D146" s="171" t="s">
        <v>631</v>
      </c>
      <c r="E146" s="172" t="s">
        <v>452</v>
      </c>
      <c r="F146" s="170">
        <v>15000</v>
      </c>
      <c r="G146" s="173">
        <v>0.12</v>
      </c>
      <c r="H146" s="173">
        <f t="shared" si="12"/>
        <v>0.13799999999999998</v>
      </c>
      <c r="I146" s="173">
        <f t="shared" si="11"/>
        <v>2069.9999999999995</v>
      </c>
      <c r="J146" s="173">
        <f t="shared" si="10"/>
        <v>2463.2999999999993</v>
      </c>
    </row>
    <row r="147" spans="1:10" ht="30" x14ac:dyDescent="0.25">
      <c r="A147" s="170" t="s">
        <v>604</v>
      </c>
      <c r="B147" s="171" t="s">
        <v>605</v>
      </c>
      <c r="C147" s="170" t="s">
        <v>1063</v>
      </c>
      <c r="D147" s="171" t="s">
        <v>621</v>
      </c>
      <c r="E147" s="172" t="s">
        <v>452</v>
      </c>
      <c r="F147" s="170">
        <v>10000</v>
      </c>
      <c r="G147" s="173">
        <v>0.08</v>
      </c>
      <c r="H147" s="173">
        <f t="shared" si="12"/>
        <v>9.1999999999999998E-2</v>
      </c>
      <c r="I147" s="173">
        <f t="shared" si="11"/>
        <v>920</v>
      </c>
      <c r="J147" s="173">
        <f t="shared" si="10"/>
        <v>1094.8</v>
      </c>
    </row>
    <row r="148" spans="1:10" ht="30" x14ac:dyDescent="0.25">
      <c r="A148" s="170" t="s">
        <v>604</v>
      </c>
      <c r="B148" s="171" t="s">
        <v>605</v>
      </c>
      <c r="C148" s="170" t="s">
        <v>1063</v>
      </c>
      <c r="D148" s="171" t="s">
        <v>619</v>
      </c>
      <c r="E148" s="172" t="s">
        <v>452</v>
      </c>
      <c r="F148" s="170">
        <v>9000</v>
      </c>
      <c r="G148" s="173">
        <v>0.04</v>
      </c>
      <c r="H148" s="173">
        <f t="shared" si="12"/>
        <v>4.5999999999999999E-2</v>
      </c>
      <c r="I148" s="173">
        <f t="shared" si="11"/>
        <v>414</v>
      </c>
      <c r="J148" s="173">
        <f t="shared" si="10"/>
        <v>492.65999999999997</v>
      </c>
    </row>
    <row r="149" spans="1:10" ht="30" x14ac:dyDescent="0.25">
      <c r="A149" s="170" t="s">
        <v>604</v>
      </c>
      <c r="B149" s="171" t="s">
        <v>605</v>
      </c>
      <c r="C149" s="170" t="s">
        <v>1063</v>
      </c>
      <c r="D149" s="171" t="s">
        <v>623</v>
      </c>
      <c r="E149" s="172" t="s">
        <v>452</v>
      </c>
      <c r="F149" s="170">
        <v>6000</v>
      </c>
      <c r="G149" s="173">
        <v>0.04</v>
      </c>
      <c r="H149" s="173">
        <f t="shared" si="12"/>
        <v>4.5999999999999999E-2</v>
      </c>
      <c r="I149" s="173">
        <f t="shared" si="11"/>
        <v>276</v>
      </c>
      <c r="J149" s="173">
        <f t="shared" si="10"/>
        <v>328.44</v>
      </c>
    </row>
    <row r="150" spans="1:10" ht="30" x14ac:dyDescent="0.25">
      <c r="A150" s="170" t="s">
        <v>604</v>
      </c>
      <c r="B150" s="171" t="s">
        <v>605</v>
      </c>
      <c r="C150" s="170" t="s">
        <v>1063</v>
      </c>
      <c r="D150" s="171" t="s">
        <v>620</v>
      </c>
      <c r="E150" s="172" t="s">
        <v>452</v>
      </c>
      <c r="F150" s="170">
        <v>6000</v>
      </c>
      <c r="G150" s="173">
        <v>0.04</v>
      </c>
      <c r="H150" s="173">
        <f t="shared" si="12"/>
        <v>4.5999999999999999E-2</v>
      </c>
      <c r="I150" s="173">
        <f t="shared" si="11"/>
        <v>276</v>
      </c>
      <c r="J150" s="173">
        <f t="shared" si="10"/>
        <v>328.44</v>
      </c>
    </row>
    <row r="151" spans="1:10" ht="30" x14ac:dyDescent="0.25">
      <c r="A151" s="170" t="s">
        <v>604</v>
      </c>
      <c r="B151" s="171" t="s">
        <v>605</v>
      </c>
      <c r="C151" s="170" t="s">
        <v>1063</v>
      </c>
      <c r="D151" s="171" t="s">
        <v>620</v>
      </c>
      <c r="E151" s="172" t="s">
        <v>452</v>
      </c>
      <c r="F151" s="170">
        <v>5000</v>
      </c>
      <c r="G151" s="173">
        <v>0.08</v>
      </c>
      <c r="H151" s="173">
        <f t="shared" si="12"/>
        <v>9.1999999999999998E-2</v>
      </c>
      <c r="I151" s="173">
        <f t="shared" si="11"/>
        <v>460</v>
      </c>
      <c r="J151" s="173">
        <f t="shared" si="10"/>
        <v>547.4</v>
      </c>
    </row>
    <row r="152" spans="1:10" ht="30" x14ac:dyDescent="0.25">
      <c r="A152" s="170" t="s">
        <v>604</v>
      </c>
      <c r="B152" s="171" t="s">
        <v>605</v>
      </c>
      <c r="C152" s="170" t="s">
        <v>1063</v>
      </c>
      <c r="D152" s="171" t="s">
        <v>622</v>
      </c>
      <c r="E152" s="172" t="s">
        <v>452</v>
      </c>
      <c r="F152" s="170">
        <v>18000</v>
      </c>
      <c r="G152" s="173">
        <v>0.12</v>
      </c>
      <c r="H152" s="173">
        <f t="shared" si="12"/>
        <v>0.13799999999999998</v>
      </c>
      <c r="I152" s="173">
        <f t="shared" si="11"/>
        <v>2483.9999999999995</v>
      </c>
      <c r="J152" s="173">
        <f t="shared" si="10"/>
        <v>2955.9599999999991</v>
      </c>
    </row>
    <row r="153" spans="1:10" ht="30" x14ac:dyDescent="0.25">
      <c r="A153" s="170" t="s">
        <v>604</v>
      </c>
      <c r="B153" s="171" t="s">
        <v>605</v>
      </c>
      <c r="C153" s="170" t="s">
        <v>1063</v>
      </c>
      <c r="D153" s="171" t="s">
        <v>1067</v>
      </c>
      <c r="E153" s="172" t="s">
        <v>452</v>
      </c>
      <c r="F153" s="170">
        <v>6000</v>
      </c>
      <c r="G153" s="173">
        <v>0.09</v>
      </c>
      <c r="H153" s="173">
        <f t="shared" si="12"/>
        <v>0.10349999999999999</v>
      </c>
      <c r="I153" s="173">
        <f t="shared" si="11"/>
        <v>621</v>
      </c>
      <c r="J153" s="173">
        <f t="shared" si="10"/>
        <v>738.99</v>
      </c>
    </row>
    <row r="154" spans="1:10" ht="30" x14ac:dyDescent="0.25">
      <c r="A154" s="170" t="s">
        <v>604</v>
      </c>
      <c r="B154" s="171" t="s">
        <v>605</v>
      </c>
      <c r="C154" s="170" t="s">
        <v>1063</v>
      </c>
      <c r="D154" s="171" t="s">
        <v>1068</v>
      </c>
      <c r="E154" s="172" t="s">
        <v>452</v>
      </c>
      <c r="F154" s="170">
        <v>5000</v>
      </c>
      <c r="G154" s="173">
        <v>0.04</v>
      </c>
      <c r="H154" s="173">
        <f t="shared" si="12"/>
        <v>4.5999999999999999E-2</v>
      </c>
      <c r="I154" s="173">
        <f t="shared" si="11"/>
        <v>230</v>
      </c>
      <c r="J154" s="173">
        <f t="shared" si="10"/>
        <v>273.7</v>
      </c>
    </row>
    <row r="155" spans="1:10" ht="30" x14ac:dyDescent="0.25">
      <c r="A155" s="170" t="s">
        <v>604</v>
      </c>
      <c r="B155" s="171" t="s">
        <v>605</v>
      </c>
      <c r="C155" s="170" t="s">
        <v>1063</v>
      </c>
      <c r="D155" s="171" t="s">
        <v>1069</v>
      </c>
      <c r="E155" s="172" t="s">
        <v>452</v>
      </c>
      <c r="F155" s="170">
        <v>3000</v>
      </c>
      <c r="G155" s="173">
        <v>0.04</v>
      </c>
      <c r="H155" s="173">
        <f t="shared" si="12"/>
        <v>4.5999999999999999E-2</v>
      </c>
      <c r="I155" s="173">
        <f t="shared" si="11"/>
        <v>138</v>
      </c>
      <c r="J155" s="173">
        <f t="shared" si="10"/>
        <v>164.22</v>
      </c>
    </row>
    <row r="156" spans="1:10" ht="30" x14ac:dyDescent="0.25">
      <c r="A156" s="170" t="s">
        <v>604</v>
      </c>
      <c r="B156" s="171" t="s">
        <v>605</v>
      </c>
      <c r="C156" s="170" t="s">
        <v>1042</v>
      </c>
      <c r="D156" s="171" t="s">
        <v>1070</v>
      </c>
      <c r="E156" s="172" t="s">
        <v>452</v>
      </c>
      <c r="F156" s="170">
        <v>500</v>
      </c>
      <c r="G156" s="173">
        <v>0.04</v>
      </c>
      <c r="H156" s="173">
        <f t="shared" si="12"/>
        <v>4.5999999999999999E-2</v>
      </c>
      <c r="I156" s="173">
        <f t="shared" si="11"/>
        <v>23</v>
      </c>
      <c r="J156" s="173">
        <f t="shared" si="10"/>
        <v>27.369999999999997</v>
      </c>
    </row>
    <row r="157" spans="1:10" ht="30" x14ac:dyDescent="0.25">
      <c r="A157" s="170" t="s">
        <v>604</v>
      </c>
      <c r="B157" s="171" t="s">
        <v>605</v>
      </c>
      <c r="C157" s="170" t="s">
        <v>1042</v>
      </c>
      <c r="D157" s="171" t="s">
        <v>629</v>
      </c>
      <c r="E157" s="172" t="s">
        <v>452</v>
      </c>
      <c r="F157" s="170">
        <v>1</v>
      </c>
      <c r="G157" s="173">
        <v>25</v>
      </c>
      <c r="H157" s="173">
        <f t="shared" si="12"/>
        <v>28.749999999999996</v>
      </c>
      <c r="I157" s="173">
        <f t="shared" si="11"/>
        <v>28.749999999999996</v>
      </c>
      <c r="J157" s="173">
        <f t="shared" si="10"/>
        <v>34.212499999999991</v>
      </c>
    </row>
    <row r="158" spans="1:10" ht="30" x14ac:dyDescent="0.25">
      <c r="A158" s="170" t="s">
        <v>604</v>
      </c>
      <c r="B158" s="171" t="s">
        <v>605</v>
      </c>
      <c r="C158" s="170" t="s">
        <v>972</v>
      </c>
      <c r="D158" s="171" t="s">
        <v>611</v>
      </c>
      <c r="E158" s="172" t="s">
        <v>452</v>
      </c>
      <c r="F158" s="170">
        <v>5</v>
      </c>
      <c r="G158" s="173">
        <v>26</v>
      </c>
      <c r="H158" s="173">
        <f t="shared" si="12"/>
        <v>29.9</v>
      </c>
      <c r="I158" s="173">
        <f t="shared" si="11"/>
        <v>149.5</v>
      </c>
      <c r="J158" s="173">
        <f t="shared" si="10"/>
        <v>177.905</v>
      </c>
    </row>
    <row r="159" spans="1:10" ht="30" x14ac:dyDescent="0.25">
      <c r="A159" s="170" t="s">
        <v>604</v>
      </c>
      <c r="B159" s="171" t="s">
        <v>605</v>
      </c>
      <c r="C159" s="170" t="s">
        <v>1071</v>
      </c>
      <c r="D159" s="171" t="s">
        <v>624</v>
      </c>
      <c r="E159" s="172" t="s">
        <v>452</v>
      </c>
      <c r="F159" s="170">
        <v>1</v>
      </c>
      <c r="G159" s="173">
        <v>25</v>
      </c>
      <c r="H159" s="173">
        <f t="shared" si="12"/>
        <v>28.749999999999996</v>
      </c>
      <c r="I159" s="173">
        <f t="shared" si="11"/>
        <v>28.749999999999996</v>
      </c>
      <c r="J159" s="173">
        <f t="shared" si="10"/>
        <v>34.212499999999991</v>
      </c>
    </row>
    <row r="160" spans="1:10" ht="30" x14ac:dyDescent="0.25">
      <c r="A160" s="170" t="s">
        <v>604</v>
      </c>
      <c r="B160" s="171" t="s">
        <v>605</v>
      </c>
      <c r="C160" s="170" t="s">
        <v>1042</v>
      </c>
      <c r="D160" s="171" t="s">
        <v>628</v>
      </c>
      <c r="E160" s="172" t="s">
        <v>452</v>
      </c>
      <c r="F160" s="170">
        <v>1</v>
      </c>
      <c r="G160" s="173">
        <v>25</v>
      </c>
      <c r="H160" s="173">
        <f t="shared" si="12"/>
        <v>28.749999999999996</v>
      </c>
      <c r="I160" s="173">
        <f t="shared" si="11"/>
        <v>28.749999999999996</v>
      </c>
      <c r="J160" s="173">
        <f t="shared" si="10"/>
        <v>34.212499999999991</v>
      </c>
    </row>
    <row r="161" spans="1:10" ht="30" x14ac:dyDescent="0.25">
      <c r="A161" s="170" t="s">
        <v>604</v>
      </c>
      <c r="B161" s="171" t="s">
        <v>605</v>
      </c>
      <c r="C161" s="170" t="s">
        <v>1071</v>
      </c>
      <c r="D161" s="171" t="s">
        <v>627</v>
      </c>
      <c r="E161" s="172" t="s">
        <v>452</v>
      </c>
      <c r="F161" s="170">
        <v>4</v>
      </c>
      <c r="G161" s="173">
        <v>25</v>
      </c>
      <c r="H161" s="173">
        <f t="shared" si="12"/>
        <v>28.749999999999996</v>
      </c>
      <c r="I161" s="173">
        <f t="shared" si="11"/>
        <v>114.99999999999999</v>
      </c>
      <c r="J161" s="173">
        <f t="shared" si="10"/>
        <v>136.84999999999997</v>
      </c>
    </row>
    <row r="162" spans="1:10" ht="30" x14ac:dyDescent="0.25">
      <c r="A162" s="170" t="s">
        <v>604</v>
      </c>
      <c r="B162" s="171" t="s">
        <v>605</v>
      </c>
      <c r="C162" s="170" t="s">
        <v>972</v>
      </c>
      <c r="D162" s="171" t="s">
        <v>612</v>
      </c>
      <c r="E162" s="172" t="s">
        <v>533</v>
      </c>
      <c r="F162" s="170">
        <v>5</v>
      </c>
      <c r="G162" s="173">
        <v>25</v>
      </c>
      <c r="H162" s="173">
        <f t="shared" si="12"/>
        <v>28.749999999999996</v>
      </c>
      <c r="I162" s="173">
        <f t="shared" si="11"/>
        <v>143.74999999999997</v>
      </c>
      <c r="J162" s="173">
        <f t="shared" si="10"/>
        <v>171.06249999999997</v>
      </c>
    </row>
    <row r="163" spans="1:10" ht="30" x14ac:dyDescent="0.25">
      <c r="A163" s="170" t="s">
        <v>604</v>
      </c>
      <c r="B163" s="171" t="s">
        <v>605</v>
      </c>
      <c r="C163" s="170" t="s">
        <v>972</v>
      </c>
      <c r="D163" s="171" t="s">
        <v>635</v>
      </c>
      <c r="E163" s="172" t="s">
        <v>616</v>
      </c>
      <c r="F163" s="170">
        <v>3</v>
      </c>
      <c r="G163" s="173">
        <v>35</v>
      </c>
      <c r="H163" s="173">
        <f t="shared" si="12"/>
        <v>40.25</v>
      </c>
      <c r="I163" s="173">
        <f t="shared" si="11"/>
        <v>120.75</v>
      </c>
      <c r="J163" s="173">
        <f t="shared" si="10"/>
        <v>143.6925</v>
      </c>
    </row>
    <row r="164" spans="1:10" ht="30" x14ac:dyDescent="0.25">
      <c r="A164" s="170" t="s">
        <v>604</v>
      </c>
      <c r="B164" s="171" t="s">
        <v>605</v>
      </c>
      <c r="C164" s="170" t="s">
        <v>1071</v>
      </c>
      <c r="D164" s="171" t="s">
        <v>626</v>
      </c>
      <c r="E164" s="172" t="s">
        <v>452</v>
      </c>
      <c r="F164" s="170">
        <v>1</v>
      </c>
      <c r="G164" s="173">
        <v>25</v>
      </c>
      <c r="H164" s="173">
        <f t="shared" si="12"/>
        <v>28.749999999999996</v>
      </c>
      <c r="I164" s="173">
        <f t="shared" si="11"/>
        <v>28.749999999999996</v>
      </c>
      <c r="J164" s="173">
        <f t="shared" si="10"/>
        <v>34.212499999999991</v>
      </c>
    </row>
    <row r="165" spans="1:10" ht="30" x14ac:dyDescent="0.25">
      <c r="A165" s="170" t="s">
        <v>604</v>
      </c>
      <c r="B165" s="171" t="s">
        <v>605</v>
      </c>
      <c r="C165" s="170" t="s">
        <v>1071</v>
      </c>
      <c r="D165" s="171" t="s">
        <v>625</v>
      </c>
      <c r="E165" s="172" t="s">
        <v>452</v>
      </c>
      <c r="F165" s="170">
        <v>1</v>
      </c>
      <c r="G165" s="173">
        <v>25</v>
      </c>
      <c r="H165" s="173">
        <f t="shared" si="12"/>
        <v>28.749999999999996</v>
      </c>
      <c r="I165" s="173">
        <f t="shared" si="11"/>
        <v>28.749999999999996</v>
      </c>
      <c r="J165" s="173">
        <f t="shared" si="10"/>
        <v>34.212499999999991</v>
      </c>
    </row>
    <row r="166" spans="1:10" ht="30" x14ac:dyDescent="0.25">
      <c r="A166" s="170" t="s">
        <v>604</v>
      </c>
      <c r="B166" s="171" t="s">
        <v>605</v>
      </c>
      <c r="C166" s="170" t="s">
        <v>1042</v>
      </c>
      <c r="D166" s="171" t="s">
        <v>632</v>
      </c>
      <c r="E166" s="172" t="s">
        <v>452</v>
      </c>
      <c r="F166" s="170">
        <v>50</v>
      </c>
      <c r="G166" s="173">
        <v>4.5</v>
      </c>
      <c r="H166" s="173">
        <f t="shared" si="12"/>
        <v>5.1749999999999998</v>
      </c>
      <c r="I166" s="173">
        <f t="shared" si="11"/>
        <v>258.75</v>
      </c>
      <c r="J166" s="173">
        <f t="shared" si="10"/>
        <v>307.91249999999997</v>
      </c>
    </row>
    <row r="167" spans="1:10" ht="30" x14ac:dyDescent="0.25">
      <c r="A167" s="170" t="s">
        <v>604</v>
      </c>
      <c r="B167" s="171" t="s">
        <v>605</v>
      </c>
      <c r="C167" s="174" t="s">
        <v>1072</v>
      </c>
      <c r="D167" s="171" t="s">
        <v>1073</v>
      </c>
      <c r="E167" s="172" t="s">
        <v>452</v>
      </c>
      <c r="F167" s="170">
        <v>1</v>
      </c>
      <c r="G167" s="173">
        <v>71</v>
      </c>
      <c r="H167" s="173">
        <f t="shared" si="12"/>
        <v>81.649999999999991</v>
      </c>
      <c r="I167" s="173">
        <f t="shared" si="11"/>
        <v>81.649999999999991</v>
      </c>
      <c r="J167" s="173">
        <f t="shared" si="10"/>
        <v>97.163499999999985</v>
      </c>
    </row>
    <row r="168" spans="1:10" ht="30" x14ac:dyDescent="0.25">
      <c r="A168" s="170" t="s">
        <v>604</v>
      </c>
      <c r="B168" s="171" t="s">
        <v>605</v>
      </c>
      <c r="C168" s="174" t="s">
        <v>1074</v>
      </c>
      <c r="D168" s="171" t="s">
        <v>653</v>
      </c>
      <c r="E168" s="172" t="s">
        <v>637</v>
      </c>
      <c r="F168" s="170">
        <v>510</v>
      </c>
      <c r="G168" s="173">
        <v>1.2</v>
      </c>
      <c r="H168" s="173">
        <f t="shared" si="12"/>
        <v>1.38</v>
      </c>
      <c r="I168" s="173">
        <f t="shared" si="11"/>
        <v>703.8</v>
      </c>
      <c r="J168" s="173">
        <f t="shared" si="10"/>
        <v>837.52199999999993</v>
      </c>
    </row>
    <row r="169" spans="1:10" ht="30" x14ac:dyDescent="0.25">
      <c r="A169" s="170" t="s">
        <v>604</v>
      </c>
      <c r="B169" s="171" t="s">
        <v>605</v>
      </c>
      <c r="C169" s="170" t="s">
        <v>1042</v>
      </c>
      <c r="D169" s="171" t="s">
        <v>1075</v>
      </c>
      <c r="E169" s="172" t="s">
        <v>452</v>
      </c>
      <c r="F169" s="170">
        <v>500</v>
      </c>
      <c r="G169" s="173">
        <v>0.05</v>
      </c>
      <c r="H169" s="173">
        <f t="shared" si="12"/>
        <v>5.7499999999999996E-2</v>
      </c>
      <c r="I169" s="173">
        <f t="shared" si="11"/>
        <v>28.749999999999996</v>
      </c>
      <c r="J169" s="173">
        <f t="shared" si="10"/>
        <v>34.212499999999991</v>
      </c>
    </row>
    <row r="170" spans="1:10" ht="30" x14ac:dyDescent="0.25">
      <c r="A170" s="170" t="s">
        <v>604</v>
      </c>
      <c r="B170" s="171" t="s">
        <v>605</v>
      </c>
      <c r="C170" s="174" t="s">
        <v>1076</v>
      </c>
      <c r="D170" s="171" t="s">
        <v>1077</v>
      </c>
      <c r="E170" s="172" t="s">
        <v>452</v>
      </c>
      <c r="F170" s="170">
        <v>1</v>
      </c>
      <c r="G170" s="173">
        <v>148</v>
      </c>
      <c r="H170" s="173">
        <f t="shared" si="12"/>
        <v>170.2</v>
      </c>
      <c r="I170" s="173">
        <f t="shared" si="11"/>
        <v>170.2</v>
      </c>
      <c r="J170" s="173">
        <f>I170*1.19</f>
        <v>202.53799999999998</v>
      </c>
    </row>
    <row r="171" spans="1:10" x14ac:dyDescent="0.25">
      <c r="A171" s="237" t="s">
        <v>1078</v>
      </c>
      <c r="B171" s="238"/>
      <c r="C171" s="238"/>
      <c r="D171" s="238"/>
      <c r="E171" s="238"/>
      <c r="F171" s="238"/>
      <c r="G171" s="238"/>
      <c r="H171" s="238"/>
      <c r="I171" s="239"/>
      <c r="J171" s="179">
        <f>SUM(J106:J170)</f>
        <v>108294.57792999997</v>
      </c>
    </row>
    <row r="172" spans="1:10" x14ac:dyDescent="0.25">
      <c r="A172" s="170" t="s">
        <v>647</v>
      </c>
      <c r="B172" s="171" t="s">
        <v>648</v>
      </c>
      <c r="C172" s="174" t="s">
        <v>1079</v>
      </c>
      <c r="D172" s="171" t="s">
        <v>1080</v>
      </c>
      <c r="E172" s="172" t="s">
        <v>452</v>
      </c>
      <c r="F172" s="170">
        <v>41</v>
      </c>
      <c r="G172" s="173">
        <v>126</v>
      </c>
      <c r="H172" s="173">
        <f t="shared" si="12"/>
        <v>144.89999999999998</v>
      </c>
      <c r="I172" s="173">
        <f>H172*F172</f>
        <v>5940.8999999999987</v>
      </c>
      <c r="J172" s="173">
        <f t="shared" ref="J172:J193" si="13">I172*1.19</f>
        <v>7069.6709999999985</v>
      </c>
    </row>
    <row r="173" spans="1:10" x14ac:dyDescent="0.25">
      <c r="A173" s="170" t="s">
        <v>647</v>
      </c>
      <c r="B173" s="171" t="s">
        <v>648</v>
      </c>
      <c r="C173" s="174" t="s">
        <v>1079</v>
      </c>
      <c r="D173" s="171" t="s">
        <v>1081</v>
      </c>
      <c r="E173" s="172" t="s">
        <v>452</v>
      </c>
      <c r="F173" s="170">
        <v>21</v>
      </c>
      <c r="G173" s="173">
        <v>83</v>
      </c>
      <c r="H173" s="173">
        <f t="shared" si="12"/>
        <v>95.449999999999989</v>
      </c>
      <c r="I173" s="173">
        <f t="shared" ref="I173:I193" si="14">H173*F173</f>
        <v>2004.4499999999998</v>
      </c>
      <c r="J173" s="173">
        <f t="shared" si="13"/>
        <v>2385.2954999999997</v>
      </c>
    </row>
    <row r="174" spans="1:10" x14ac:dyDescent="0.25">
      <c r="A174" s="170" t="s">
        <v>647</v>
      </c>
      <c r="B174" s="171" t="s">
        <v>648</v>
      </c>
      <c r="C174" s="174" t="s">
        <v>1079</v>
      </c>
      <c r="D174" s="171" t="s">
        <v>1082</v>
      </c>
      <c r="E174" s="172" t="s">
        <v>452</v>
      </c>
      <c r="F174" s="170">
        <v>20</v>
      </c>
      <c r="G174" s="173">
        <v>49</v>
      </c>
      <c r="H174" s="173">
        <f t="shared" si="12"/>
        <v>56.349999999999994</v>
      </c>
      <c r="I174" s="173">
        <f t="shared" si="14"/>
        <v>1127</v>
      </c>
      <c r="J174" s="173">
        <f t="shared" si="13"/>
        <v>1341.1299999999999</v>
      </c>
    </row>
    <row r="175" spans="1:10" x14ac:dyDescent="0.25">
      <c r="A175" s="170" t="s">
        <v>647</v>
      </c>
      <c r="B175" s="171" t="s">
        <v>648</v>
      </c>
      <c r="C175" s="174" t="s">
        <v>1079</v>
      </c>
      <c r="D175" s="171" t="s">
        <v>1083</v>
      </c>
      <c r="E175" s="172" t="s">
        <v>452</v>
      </c>
      <c r="F175" s="170">
        <v>1</v>
      </c>
      <c r="G175" s="173">
        <v>66.81</v>
      </c>
      <c r="H175" s="173">
        <f t="shared" si="12"/>
        <v>76.831499999999991</v>
      </c>
      <c r="I175" s="173">
        <f t="shared" si="14"/>
        <v>76.831499999999991</v>
      </c>
      <c r="J175" s="173">
        <f t="shared" si="13"/>
        <v>91.429484999999985</v>
      </c>
    </row>
    <row r="176" spans="1:10" x14ac:dyDescent="0.25">
      <c r="A176" s="170" t="s">
        <v>647</v>
      </c>
      <c r="B176" s="171" t="s">
        <v>648</v>
      </c>
      <c r="C176" s="174" t="s">
        <v>1079</v>
      </c>
      <c r="D176" s="171" t="s">
        <v>654</v>
      </c>
      <c r="E176" s="172" t="s">
        <v>452</v>
      </c>
      <c r="F176" s="170">
        <v>4</v>
      </c>
      <c r="G176" s="173">
        <v>372.27</v>
      </c>
      <c r="H176" s="173">
        <f t="shared" si="12"/>
        <v>428.11049999999994</v>
      </c>
      <c r="I176" s="173">
        <f t="shared" si="14"/>
        <v>1712.4419999999998</v>
      </c>
      <c r="J176" s="173">
        <f t="shared" si="13"/>
        <v>2037.8059799999996</v>
      </c>
    </row>
    <row r="177" spans="1:10" x14ac:dyDescent="0.25">
      <c r="A177" s="170" t="s">
        <v>647</v>
      </c>
      <c r="B177" s="171" t="s">
        <v>648</v>
      </c>
      <c r="C177" s="174" t="s">
        <v>1079</v>
      </c>
      <c r="D177" s="171" t="s">
        <v>654</v>
      </c>
      <c r="E177" s="172" t="s">
        <v>452</v>
      </c>
      <c r="F177" s="170">
        <v>4</v>
      </c>
      <c r="G177" s="173">
        <v>609.24</v>
      </c>
      <c r="H177" s="173">
        <f t="shared" si="12"/>
        <v>700.62599999999998</v>
      </c>
      <c r="I177" s="173">
        <f t="shared" si="14"/>
        <v>2802.5039999999999</v>
      </c>
      <c r="J177" s="173">
        <f t="shared" si="13"/>
        <v>3334.9797599999997</v>
      </c>
    </row>
    <row r="178" spans="1:10" x14ac:dyDescent="0.25">
      <c r="A178" s="170" t="s">
        <v>647</v>
      </c>
      <c r="B178" s="171" t="s">
        <v>648</v>
      </c>
      <c r="C178" s="174" t="s">
        <v>1079</v>
      </c>
      <c r="D178" s="171" t="s">
        <v>651</v>
      </c>
      <c r="E178" s="172" t="s">
        <v>452</v>
      </c>
      <c r="F178" s="170">
        <v>1</v>
      </c>
      <c r="G178" s="173">
        <v>21.74</v>
      </c>
      <c r="H178" s="173">
        <f t="shared" si="12"/>
        <v>25.000999999999998</v>
      </c>
      <c r="I178" s="173">
        <f t="shared" si="14"/>
        <v>25.000999999999998</v>
      </c>
      <c r="J178" s="173">
        <f t="shared" si="13"/>
        <v>29.751189999999998</v>
      </c>
    </row>
    <row r="179" spans="1:10" x14ac:dyDescent="0.25">
      <c r="A179" s="170" t="s">
        <v>647</v>
      </c>
      <c r="B179" s="171" t="s">
        <v>648</v>
      </c>
      <c r="C179" s="174" t="s">
        <v>1079</v>
      </c>
      <c r="D179" s="171" t="s">
        <v>1084</v>
      </c>
      <c r="E179" s="172" t="s">
        <v>452</v>
      </c>
      <c r="F179" s="170">
        <v>2670</v>
      </c>
      <c r="G179" s="173">
        <v>0.68</v>
      </c>
      <c r="H179" s="173">
        <f t="shared" si="12"/>
        <v>0.78200000000000003</v>
      </c>
      <c r="I179" s="173">
        <f t="shared" si="14"/>
        <v>2087.94</v>
      </c>
      <c r="J179" s="173">
        <f t="shared" si="13"/>
        <v>2484.6486</v>
      </c>
    </row>
    <row r="180" spans="1:10" x14ac:dyDescent="0.25">
      <c r="A180" s="170" t="s">
        <v>647</v>
      </c>
      <c r="B180" s="171" t="s">
        <v>648</v>
      </c>
      <c r="C180" s="174" t="s">
        <v>1079</v>
      </c>
      <c r="D180" s="171" t="s">
        <v>1085</v>
      </c>
      <c r="E180" s="172" t="s">
        <v>452</v>
      </c>
      <c r="F180" s="170">
        <v>5</v>
      </c>
      <c r="G180" s="173">
        <v>66</v>
      </c>
      <c r="H180" s="173">
        <f t="shared" si="12"/>
        <v>75.899999999999991</v>
      </c>
      <c r="I180" s="173">
        <f t="shared" si="14"/>
        <v>379.49999999999994</v>
      </c>
      <c r="J180" s="173">
        <f t="shared" si="13"/>
        <v>451.6049999999999</v>
      </c>
    </row>
    <row r="181" spans="1:10" x14ac:dyDescent="0.25">
      <c r="A181" s="170" t="s">
        <v>647</v>
      </c>
      <c r="B181" s="171" t="s">
        <v>648</v>
      </c>
      <c r="C181" s="174" t="s">
        <v>1079</v>
      </c>
      <c r="D181" s="171" t="s">
        <v>1086</v>
      </c>
      <c r="E181" s="172" t="s">
        <v>452</v>
      </c>
      <c r="F181" s="170">
        <v>1</v>
      </c>
      <c r="G181" s="173">
        <v>318</v>
      </c>
      <c r="H181" s="173">
        <f t="shared" si="12"/>
        <v>365.7</v>
      </c>
      <c r="I181" s="173">
        <f t="shared" si="14"/>
        <v>365.7</v>
      </c>
      <c r="J181" s="173">
        <f t="shared" si="13"/>
        <v>435.18299999999999</v>
      </c>
    </row>
    <row r="182" spans="1:10" x14ac:dyDescent="0.25">
      <c r="A182" s="170" t="s">
        <v>647</v>
      </c>
      <c r="B182" s="171" t="s">
        <v>648</v>
      </c>
      <c r="C182" s="174" t="s">
        <v>1079</v>
      </c>
      <c r="D182" s="171" t="s">
        <v>1087</v>
      </c>
      <c r="E182" s="172" t="s">
        <v>452</v>
      </c>
      <c r="F182" s="170">
        <v>1</v>
      </c>
      <c r="G182" s="173">
        <v>15.84</v>
      </c>
      <c r="H182" s="173">
        <f t="shared" si="12"/>
        <v>18.215999999999998</v>
      </c>
      <c r="I182" s="173">
        <f t="shared" si="14"/>
        <v>18.215999999999998</v>
      </c>
      <c r="J182" s="173">
        <f t="shared" si="13"/>
        <v>21.677039999999995</v>
      </c>
    </row>
    <row r="183" spans="1:10" x14ac:dyDescent="0.25">
      <c r="A183" s="170" t="s">
        <v>647</v>
      </c>
      <c r="B183" s="171" t="s">
        <v>648</v>
      </c>
      <c r="C183" s="174" t="s">
        <v>1079</v>
      </c>
      <c r="D183" s="171" t="s">
        <v>1088</v>
      </c>
      <c r="E183" s="172" t="s">
        <v>452</v>
      </c>
      <c r="F183" s="170">
        <v>20</v>
      </c>
      <c r="G183" s="173">
        <v>37.799999999999997</v>
      </c>
      <c r="H183" s="173">
        <f t="shared" si="12"/>
        <v>43.469999999999992</v>
      </c>
      <c r="I183" s="173">
        <f t="shared" si="14"/>
        <v>869.39999999999986</v>
      </c>
      <c r="J183" s="173">
        <f t="shared" si="13"/>
        <v>1034.5859999999998</v>
      </c>
    </row>
    <row r="184" spans="1:10" x14ac:dyDescent="0.25">
      <c r="A184" s="170" t="s">
        <v>647</v>
      </c>
      <c r="B184" s="171" t="s">
        <v>648</v>
      </c>
      <c r="C184" s="174" t="s">
        <v>1079</v>
      </c>
      <c r="D184" s="171" t="s">
        <v>1089</v>
      </c>
      <c r="E184" s="172" t="s">
        <v>452</v>
      </c>
      <c r="F184" s="170">
        <v>30</v>
      </c>
      <c r="G184" s="173">
        <v>12</v>
      </c>
      <c r="H184" s="173">
        <f t="shared" si="12"/>
        <v>13.799999999999999</v>
      </c>
      <c r="I184" s="173">
        <f t="shared" si="14"/>
        <v>413.99999999999994</v>
      </c>
      <c r="J184" s="173">
        <f t="shared" si="13"/>
        <v>492.65999999999991</v>
      </c>
    </row>
    <row r="185" spans="1:10" x14ac:dyDescent="0.25">
      <c r="A185" s="170" t="s">
        <v>647</v>
      </c>
      <c r="B185" s="171" t="s">
        <v>648</v>
      </c>
      <c r="C185" s="170" t="s">
        <v>1090</v>
      </c>
      <c r="D185" s="171" t="s">
        <v>652</v>
      </c>
      <c r="E185" s="172" t="s">
        <v>452</v>
      </c>
      <c r="F185" s="170">
        <v>20</v>
      </c>
      <c r="G185" s="173">
        <v>23</v>
      </c>
      <c r="H185" s="173">
        <f t="shared" si="12"/>
        <v>26.45</v>
      </c>
      <c r="I185" s="173">
        <f t="shared" si="14"/>
        <v>529</v>
      </c>
      <c r="J185" s="173">
        <f t="shared" si="13"/>
        <v>629.51</v>
      </c>
    </row>
    <row r="186" spans="1:10" x14ac:dyDescent="0.25">
      <c r="A186" s="170" t="s">
        <v>647</v>
      </c>
      <c r="B186" s="171" t="s">
        <v>648</v>
      </c>
      <c r="C186" s="170" t="s">
        <v>1090</v>
      </c>
      <c r="D186" s="171" t="s">
        <v>1091</v>
      </c>
      <c r="E186" s="172" t="s">
        <v>452</v>
      </c>
      <c r="F186" s="170">
        <v>11</v>
      </c>
      <c r="G186" s="173">
        <v>36</v>
      </c>
      <c r="H186" s="173">
        <f t="shared" si="12"/>
        <v>41.4</v>
      </c>
      <c r="I186" s="173">
        <f t="shared" si="14"/>
        <v>455.4</v>
      </c>
      <c r="J186" s="173">
        <f t="shared" si="13"/>
        <v>541.92599999999993</v>
      </c>
    </row>
    <row r="187" spans="1:10" x14ac:dyDescent="0.25">
      <c r="A187" s="170" t="s">
        <v>647</v>
      </c>
      <c r="B187" s="171" t="s">
        <v>648</v>
      </c>
      <c r="C187" s="174" t="s">
        <v>1079</v>
      </c>
      <c r="D187" s="171" t="s">
        <v>1092</v>
      </c>
      <c r="E187" s="172" t="s">
        <v>452</v>
      </c>
      <c r="F187" s="170">
        <v>32</v>
      </c>
      <c r="G187" s="173">
        <v>36</v>
      </c>
      <c r="H187" s="173">
        <f t="shared" si="12"/>
        <v>41.4</v>
      </c>
      <c r="I187" s="173">
        <f t="shared" si="14"/>
        <v>1324.8</v>
      </c>
      <c r="J187" s="173">
        <f t="shared" si="13"/>
        <v>1576.5119999999999</v>
      </c>
    </row>
    <row r="188" spans="1:10" x14ac:dyDescent="0.25">
      <c r="A188" s="170" t="s">
        <v>647</v>
      </c>
      <c r="B188" s="171" t="s">
        <v>648</v>
      </c>
      <c r="C188" s="174" t="s">
        <v>1079</v>
      </c>
      <c r="D188" s="171" t="s">
        <v>650</v>
      </c>
      <c r="E188" s="172" t="s">
        <v>452</v>
      </c>
      <c r="F188" s="170">
        <v>1</v>
      </c>
      <c r="G188" s="173">
        <v>113.44</v>
      </c>
      <c r="H188" s="173">
        <f t="shared" si="12"/>
        <v>130.45599999999999</v>
      </c>
      <c r="I188" s="173">
        <f t="shared" si="14"/>
        <v>130.45599999999999</v>
      </c>
      <c r="J188" s="173">
        <f t="shared" si="13"/>
        <v>155.24263999999997</v>
      </c>
    </row>
    <row r="189" spans="1:10" x14ac:dyDescent="0.25">
      <c r="A189" s="170" t="s">
        <v>647</v>
      </c>
      <c r="B189" s="171" t="s">
        <v>648</v>
      </c>
      <c r="C189" s="174" t="s">
        <v>1079</v>
      </c>
      <c r="D189" s="171" t="s">
        <v>1093</v>
      </c>
      <c r="E189" s="172" t="s">
        <v>452</v>
      </c>
      <c r="F189" s="170">
        <v>1</v>
      </c>
      <c r="G189" s="173">
        <v>5.71</v>
      </c>
      <c r="H189" s="173">
        <f t="shared" si="12"/>
        <v>6.5664999999999996</v>
      </c>
      <c r="I189" s="173">
        <f t="shared" si="14"/>
        <v>6.5664999999999996</v>
      </c>
      <c r="J189" s="173">
        <f t="shared" si="13"/>
        <v>7.8141349999999994</v>
      </c>
    </row>
    <row r="190" spans="1:10" x14ac:dyDescent="0.25">
      <c r="A190" s="170" t="s">
        <v>647</v>
      </c>
      <c r="B190" s="171" t="s">
        <v>648</v>
      </c>
      <c r="C190" s="174" t="s">
        <v>1079</v>
      </c>
      <c r="D190" s="171" t="s">
        <v>1094</v>
      </c>
      <c r="E190" s="172" t="s">
        <v>452</v>
      </c>
      <c r="F190" s="170">
        <v>20</v>
      </c>
      <c r="G190" s="173">
        <v>27.2</v>
      </c>
      <c r="H190" s="173">
        <f t="shared" si="12"/>
        <v>31.279999999999998</v>
      </c>
      <c r="I190" s="173">
        <f t="shared" si="14"/>
        <v>625.59999999999991</v>
      </c>
      <c r="J190" s="173">
        <f t="shared" si="13"/>
        <v>744.46399999999983</v>
      </c>
    </row>
    <row r="191" spans="1:10" x14ac:dyDescent="0.25">
      <c r="A191" s="170" t="s">
        <v>647</v>
      </c>
      <c r="B191" s="171" t="s">
        <v>648</v>
      </c>
      <c r="C191" s="174" t="s">
        <v>1079</v>
      </c>
      <c r="D191" s="171" t="s">
        <v>1095</v>
      </c>
      <c r="E191" s="172" t="s">
        <v>452</v>
      </c>
      <c r="F191" s="170">
        <v>3</v>
      </c>
      <c r="G191" s="173">
        <v>183</v>
      </c>
      <c r="H191" s="173">
        <f t="shared" si="12"/>
        <v>210.45</v>
      </c>
      <c r="I191" s="173">
        <f t="shared" si="14"/>
        <v>631.34999999999991</v>
      </c>
      <c r="J191" s="173">
        <f t="shared" si="13"/>
        <v>751.30649999999991</v>
      </c>
    </row>
    <row r="192" spans="1:10" x14ac:dyDescent="0.25">
      <c r="A192" s="170" t="s">
        <v>647</v>
      </c>
      <c r="B192" s="171" t="s">
        <v>648</v>
      </c>
      <c r="C192" s="170" t="s">
        <v>1096</v>
      </c>
      <c r="D192" s="171" t="s">
        <v>649</v>
      </c>
      <c r="E192" s="172" t="s">
        <v>452</v>
      </c>
      <c r="F192" s="170">
        <v>10</v>
      </c>
      <c r="G192" s="173">
        <v>48.5</v>
      </c>
      <c r="H192" s="173">
        <f t="shared" si="12"/>
        <v>55.774999999999999</v>
      </c>
      <c r="I192" s="173">
        <f t="shared" si="14"/>
        <v>557.75</v>
      </c>
      <c r="J192" s="173">
        <f t="shared" si="13"/>
        <v>663.72249999999997</v>
      </c>
    </row>
    <row r="193" spans="1:10" x14ac:dyDescent="0.25">
      <c r="A193" s="170" t="s">
        <v>647</v>
      </c>
      <c r="B193" s="171" t="s">
        <v>648</v>
      </c>
      <c r="C193" s="174" t="s">
        <v>1079</v>
      </c>
      <c r="D193" s="171" t="s">
        <v>1097</v>
      </c>
      <c r="E193" s="172" t="s">
        <v>452</v>
      </c>
      <c r="F193" s="170">
        <v>1</v>
      </c>
      <c r="G193" s="173">
        <v>121.85</v>
      </c>
      <c r="H193" s="173">
        <f t="shared" si="12"/>
        <v>140.12749999999997</v>
      </c>
      <c r="I193" s="173">
        <f t="shared" si="14"/>
        <v>140.12749999999997</v>
      </c>
      <c r="J193" s="173">
        <f t="shared" si="13"/>
        <v>166.75172499999996</v>
      </c>
    </row>
    <row r="194" spans="1:10" x14ac:dyDescent="0.25">
      <c r="A194" s="237" t="s">
        <v>1098</v>
      </c>
      <c r="B194" s="238"/>
      <c r="C194" s="238"/>
      <c r="D194" s="238"/>
      <c r="E194" s="238"/>
      <c r="F194" s="238"/>
      <c r="G194" s="238"/>
      <c r="H194" s="238"/>
      <c r="I194" s="239"/>
      <c r="J194" s="179">
        <f>SUM(J172:J193)</f>
        <v>26447.672054999992</v>
      </c>
    </row>
    <row r="195" spans="1:10" x14ac:dyDescent="0.25">
      <c r="A195" s="170" t="s">
        <v>658</v>
      </c>
      <c r="B195" s="171" t="s">
        <v>659</v>
      </c>
      <c r="C195" s="170"/>
      <c r="D195" s="171" t="s">
        <v>1099</v>
      </c>
      <c r="E195" s="172" t="s">
        <v>688</v>
      </c>
      <c r="F195" s="170">
        <v>6</v>
      </c>
      <c r="G195" s="173">
        <v>1396.5</v>
      </c>
      <c r="H195" s="173">
        <f t="shared" ref="H195:H258" si="15">G195*1.15</f>
        <v>1605.9749999999999</v>
      </c>
      <c r="I195" s="173">
        <f t="shared" ref="I195:I212" si="16">G195*F195</f>
        <v>8379</v>
      </c>
      <c r="J195" s="173">
        <f t="shared" ref="J195:J212" si="17">I195*1.19</f>
        <v>9971.01</v>
      </c>
    </row>
    <row r="196" spans="1:10" x14ac:dyDescent="0.25">
      <c r="A196" s="170" t="s">
        <v>658</v>
      </c>
      <c r="B196" s="171" t="s">
        <v>659</v>
      </c>
      <c r="C196" s="170"/>
      <c r="D196" s="171" t="s">
        <v>1100</v>
      </c>
      <c r="E196" s="172" t="s">
        <v>688</v>
      </c>
      <c r="F196" s="170">
        <v>155</v>
      </c>
      <c r="G196" s="173">
        <v>2790.32</v>
      </c>
      <c r="H196" s="173">
        <f t="shared" si="15"/>
        <v>3208.8679999999999</v>
      </c>
      <c r="I196" s="173">
        <f t="shared" si="16"/>
        <v>432499.60000000003</v>
      </c>
      <c r="J196" s="173">
        <f t="shared" si="17"/>
        <v>514674.52400000003</v>
      </c>
    </row>
    <row r="197" spans="1:10" x14ac:dyDescent="0.25">
      <c r="A197" s="170" t="s">
        <v>658</v>
      </c>
      <c r="B197" s="171" t="s">
        <v>659</v>
      </c>
      <c r="C197" s="170"/>
      <c r="D197" s="171" t="s">
        <v>1100</v>
      </c>
      <c r="E197" s="172" t="s">
        <v>688</v>
      </c>
      <c r="F197" s="170">
        <v>30</v>
      </c>
      <c r="G197" s="173">
        <v>4667</v>
      </c>
      <c r="H197" s="173">
        <f t="shared" si="15"/>
        <v>5367.0499999999993</v>
      </c>
      <c r="I197" s="173">
        <f t="shared" si="16"/>
        <v>140010</v>
      </c>
      <c r="J197" s="173">
        <f t="shared" si="17"/>
        <v>166611.9</v>
      </c>
    </row>
    <row r="198" spans="1:10" x14ac:dyDescent="0.25">
      <c r="A198" s="170" t="s">
        <v>658</v>
      </c>
      <c r="B198" s="171" t="s">
        <v>659</v>
      </c>
      <c r="C198" s="170"/>
      <c r="D198" s="171" t="s">
        <v>1101</v>
      </c>
      <c r="E198" s="172" t="s">
        <v>688</v>
      </c>
      <c r="F198" s="170">
        <v>704</v>
      </c>
      <c r="G198" s="173">
        <v>1396.5</v>
      </c>
      <c r="H198" s="173">
        <f t="shared" si="15"/>
        <v>1605.9749999999999</v>
      </c>
      <c r="I198" s="173">
        <f t="shared" si="16"/>
        <v>983136</v>
      </c>
      <c r="J198" s="173">
        <f t="shared" si="17"/>
        <v>1169931.8399999999</v>
      </c>
    </row>
    <row r="199" spans="1:10" x14ac:dyDescent="0.25">
      <c r="A199" s="170" t="s">
        <v>658</v>
      </c>
      <c r="B199" s="171" t="s">
        <v>659</v>
      </c>
      <c r="C199" s="170"/>
      <c r="D199" s="171" t="s">
        <v>1102</v>
      </c>
      <c r="E199" s="172" t="s">
        <v>688</v>
      </c>
      <c r="F199" s="170">
        <v>144</v>
      </c>
      <c r="G199" s="173">
        <v>1307.01</v>
      </c>
      <c r="H199" s="173">
        <f t="shared" si="15"/>
        <v>1503.0614999999998</v>
      </c>
      <c r="I199" s="173">
        <f t="shared" si="16"/>
        <v>188209.44</v>
      </c>
      <c r="J199" s="173">
        <f t="shared" si="17"/>
        <v>223969.23360000001</v>
      </c>
    </row>
    <row r="200" spans="1:10" x14ac:dyDescent="0.25">
      <c r="A200" s="170" t="s">
        <v>658</v>
      </c>
      <c r="B200" s="171" t="s">
        <v>659</v>
      </c>
      <c r="C200" s="170"/>
      <c r="D200" s="171" t="s">
        <v>1103</v>
      </c>
      <c r="E200" s="172" t="s">
        <v>688</v>
      </c>
      <c r="F200" s="170">
        <v>31</v>
      </c>
      <c r="G200" s="173">
        <v>7692.84</v>
      </c>
      <c r="H200" s="173">
        <f t="shared" si="15"/>
        <v>8846.7659999999996</v>
      </c>
      <c r="I200" s="173">
        <f t="shared" si="16"/>
        <v>238478.04</v>
      </c>
      <c r="J200" s="173">
        <f t="shared" si="17"/>
        <v>283788.8676</v>
      </c>
    </row>
    <row r="201" spans="1:10" x14ac:dyDescent="0.25">
      <c r="A201" s="170" t="s">
        <v>658</v>
      </c>
      <c r="B201" s="171" t="s">
        <v>659</v>
      </c>
      <c r="C201" s="170"/>
      <c r="D201" s="171" t="s">
        <v>1104</v>
      </c>
      <c r="E201" s="172" t="s">
        <v>452</v>
      </c>
      <c r="F201" s="170">
        <v>2831927.2</v>
      </c>
      <c r="G201" s="173">
        <v>0.84</v>
      </c>
      <c r="H201" s="173">
        <f t="shared" si="15"/>
        <v>0.96599999999999986</v>
      </c>
      <c r="I201" s="173">
        <f t="shared" si="16"/>
        <v>2378818.8480000002</v>
      </c>
      <c r="J201" s="173">
        <f t="shared" si="17"/>
        <v>2830794.42912</v>
      </c>
    </row>
    <row r="202" spans="1:10" x14ac:dyDescent="0.25">
      <c r="A202" s="170" t="s">
        <v>658</v>
      </c>
      <c r="B202" s="171" t="s">
        <v>659</v>
      </c>
      <c r="C202" s="170"/>
      <c r="D202" s="171" t="s">
        <v>1105</v>
      </c>
      <c r="E202" s="172" t="s">
        <v>1106</v>
      </c>
      <c r="F202" s="170">
        <v>819998.36</v>
      </c>
      <c r="G202" s="173">
        <v>0.84</v>
      </c>
      <c r="H202" s="173">
        <f t="shared" si="15"/>
        <v>0.96599999999999986</v>
      </c>
      <c r="I202" s="173">
        <f t="shared" si="16"/>
        <v>688798.62239999999</v>
      </c>
      <c r="J202" s="173">
        <f t="shared" si="17"/>
        <v>819670.36065599998</v>
      </c>
    </row>
    <row r="203" spans="1:10" x14ac:dyDescent="0.25">
      <c r="A203" s="170" t="s">
        <v>658</v>
      </c>
      <c r="B203" s="171" t="s">
        <v>659</v>
      </c>
      <c r="C203" s="170"/>
      <c r="D203" s="171" t="s">
        <v>1107</v>
      </c>
      <c r="E203" s="172" t="s">
        <v>688</v>
      </c>
      <c r="F203" s="170">
        <v>150</v>
      </c>
      <c r="G203" s="173">
        <v>1465.28</v>
      </c>
      <c r="H203" s="173">
        <f t="shared" si="15"/>
        <v>1685.0719999999999</v>
      </c>
      <c r="I203" s="173">
        <f t="shared" si="16"/>
        <v>219792</v>
      </c>
      <c r="J203" s="173">
        <f t="shared" si="17"/>
        <v>261552.47999999998</v>
      </c>
    </row>
    <row r="204" spans="1:10" x14ac:dyDescent="0.25">
      <c r="A204" s="170" t="s">
        <v>658</v>
      </c>
      <c r="B204" s="171" t="s">
        <v>659</v>
      </c>
      <c r="C204" s="170"/>
      <c r="D204" s="171" t="s">
        <v>1107</v>
      </c>
      <c r="E204" s="172" t="s">
        <v>688</v>
      </c>
      <c r="F204" s="170">
        <v>310</v>
      </c>
      <c r="G204" s="173">
        <v>1479.65</v>
      </c>
      <c r="H204" s="173">
        <f t="shared" si="15"/>
        <v>1701.5975000000001</v>
      </c>
      <c r="I204" s="173">
        <f t="shared" si="16"/>
        <v>458691.5</v>
      </c>
      <c r="J204" s="173">
        <f t="shared" si="17"/>
        <v>545842.88500000001</v>
      </c>
    </row>
    <row r="205" spans="1:10" x14ac:dyDescent="0.25">
      <c r="A205" s="170" t="s">
        <v>658</v>
      </c>
      <c r="B205" s="171" t="s">
        <v>659</v>
      </c>
      <c r="C205" s="170"/>
      <c r="D205" s="171" t="s">
        <v>1108</v>
      </c>
      <c r="E205" s="172" t="s">
        <v>1109</v>
      </c>
      <c r="F205" s="170">
        <v>150</v>
      </c>
      <c r="G205" s="173">
        <v>21.38</v>
      </c>
      <c r="H205" s="173">
        <f t="shared" si="15"/>
        <v>24.586999999999996</v>
      </c>
      <c r="I205" s="173">
        <f t="shared" si="16"/>
        <v>3207</v>
      </c>
      <c r="J205" s="173">
        <f t="shared" si="17"/>
        <v>3816.33</v>
      </c>
    </row>
    <row r="206" spans="1:10" x14ac:dyDescent="0.25">
      <c r="A206" s="170" t="s">
        <v>658</v>
      </c>
      <c r="B206" s="171" t="s">
        <v>659</v>
      </c>
      <c r="C206" s="170"/>
      <c r="D206" s="171" t="s">
        <v>1110</v>
      </c>
      <c r="E206" s="172" t="s">
        <v>688</v>
      </c>
      <c r="F206" s="170">
        <v>30</v>
      </c>
      <c r="G206" s="173">
        <v>43.45</v>
      </c>
      <c r="H206" s="173">
        <f t="shared" si="15"/>
        <v>49.967500000000001</v>
      </c>
      <c r="I206" s="173">
        <f t="shared" si="16"/>
        <v>1303.5</v>
      </c>
      <c r="J206" s="173">
        <f t="shared" si="17"/>
        <v>1551.165</v>
      </c>
    </row>
    <row r="207" spans="1:10" x14ac:dyDescent="0.25">
      <c r="A207" s="170" t="s">
        <v>658</v>
      </c>
      <c r="B207" s="171" t="s">
        <v>659</v>
      </c>
      <c r="C207" s="170"/>
      <c r="D207" s="171" t="s">
        <v>1111</v>
      </c>
      <c r="E207" s="172" t="s">
        <v>1112</v>
      </c>
      <c r="F207" s="170">
        <v>4</v>
      </c>
      <c r="G207" s="173">
        <v>157.78</v>
      </c>
      <c r="H207" s="173">
        <f t="shared" si="15"/>
        <v>181.44699999999997</v>
      </c>
      <c r="I207" s="173">
        <f t="shared" si="16"/>
        <v>631.12</v>
      </c>
      <c r="J207" s="173">
        <f t="shared" si="17"/>
        <v>751.03279999999995</v>
      </c>
    </row>
    <row r="208" spans="1:10" x14ac:dyDescent="0.25">
      <c r="A208" s="170" t="s">
        <v>658</v>
      </c>
      <c r="B208" s="171" t="s">
        <v>659</v>
      </c>
      <c r="C208" s="170"/>
      <c r="D208" s="171" t="s">
        <v>1113</v>
      </c>
      <c r="E208" s="172" t="s">
        <v>688</v>
      </c>
      <c r="F208" s="170">
        <v>4</v>
      </c>
      <c r="G208" s="173">
        <v>153.43</v>
      </c>
      <c r="H208" s="173">
        <f t="shared" si="15"/>
        <v>176.44450000000001</v>
      </c>
      <c r="I208" s="173">
        <f t="shared" si="16"/>
        <v>613.72</v>
      </c>
      <c r="J208" s="173">
        <f t="shared" si="17"/>
        <v>730.32680000000005</v>
      </c>
    </row>
    <row r="209" spans="1:10" x14ac:dyDescent="0.25">
      <c r="A209" s="170" t="s">
        <v>658</v>
      </c>
      <c r="B209" s="171" t="s">
        <v>659</v>
      </c>
      <c r="C209" s="170"/>
      <c r="D209" s="171" t="s">
        <v>1114</v>
      </c>
      <c r="E209" s="172" t="s">
        <v>452</v>
      </c>
      <c r="F209" s="170">
        <v>12279.35</v>
      </c>
      <c r="G209" s="173">
        <v>0.84</v>
      </c>
      <c r="H209" s="173">
        <f t="shared" si="15"/>
        <v>0.96599999999999986</v>
      </c>
      <c r="I209" s="173">
        <f t="shared" si="16"/>
        <v>10314.654</v>
      </c>
      <c r="J209" s="173">
        <f t="shared" si="17"/>
        <v>12274.438260000001</v>
      </c>
    </row>
    <row r="210" spans="1:10" x14ac:dyDescent="0.25">
      <c r="A210" s="170" t="s">
        <v>658</v>
      </c>
      <c r="B210" s="171" t="s">
        <v>659</v>
      </c>
      <c r="C210" s="170"/>
      <c r="D210" s="171" t="s">
        <v>1115</v>
      </c>
      <c r="E210" s="172" t="s">
        <v>1106</v>
      </c>
      <c r="F210" s="170">
        <v>282.85000000000002</v>
      </c>
      <c r="G210" s="173">
        <v>0.84</v>
      </c>
      <c r="H210" s="173">
        <f t="shared" si="15"/>
        <v>0.96599999999999986</v>
      </c>
      <c r="I210" s="173">
        <f t="shared" si="16"/>
        <v>237.59400000000002</v>
      </c>
      <c r="J210" s="173">
        <f t="shared" si="17"/>
        <v>282.73686000000004</v>
      </c>
    </row>
    <row r="211" spans="1:10" x14ac:dyDescent="0.25">
      <c r="A211" s="170" t="s">
        <v>658</v>
      </c>
      <c r="B211" s="171" t="s">
        <v>659</v>
      </c>
      <c r="C211" s="170"/>
      <c r="D211" s="171" t="s">
        <v>1116</v>
      </c>
      <c r="E211" s="172" t="s">
        <v>1117</v>
      </c>
      <c r="F211" s="170">
        <v>182586.84</v>
      </c>
      <c r="G211" s="173">
        <v>0.92</v>
      </c>
      <c r="H211" s="173">
        <f t="shared" si="15"/>
        <v>1.0580000000000001</v>
      </c>
      <c r="I211" s="173">
        <f t="shared" si="16"/>
        <v>167979.8928</v>
      </c>
      <c r="J211" s="173">
        <f t="shared" si="17"/>
        <v>199896.07243199999</v>
      </c>
    </row>
    <row r="212" spans="1:10" x14ac:dyDescent="0.25">
      <c r="A212" s="170" t="s">
        <v>658</v>
      </c>
      <c r="B212" s="171" t="s">
        <v>659</v>
      </c>
      <c r="C212" s="170"/>
      <c r="D212" s="171" t="s">
        <v>1118</v>
      </c>
      <c r="E212" s="172" t="s">
        <v>1117</v>
      </c>
      <c r="F212" s="170">
        <v>16480.8</v>
      </c>
      <c r="G212" s="173">
        <v>0.92</v>
      </c>
      <c r="H212" s="173">
        <f t="shared" si="15"/>
        <v>1.0580000000000001</v>
      </c>
      <c r="I212" s="173">
        <f t="shared" si="16"/>
        <v>15162.335999999999</v>
      </c>
      <c r="J212" s="173">
        <f t="shared" si="17"/>
        <v>18043.179839999997</v>
      </c>
    </row>
    <row r="213" spans="1:10" x14ac:dyDescent="0.25">
      <c r="A213" s="237" t="s">
        <v>1119</v>
      </c>
      <c r="B213" s="238"/>
      <c r="C213" s="238"/>
      <c r="D213" s="238"/>
      <c r="E213" s="238"/>
      <c r="F213" s="238"/>
      <c r="G213" s="238"/>
      <c r="H213" s="238"/>
      <c r="I213" s="239"/>
      <c r="J213" s="179">
        <f>SUM(J195:J212)</f>
        <v>7064152.8119679997</v>
      </c>
    </row>
    <row r="214" spans="1:10" x14ac:dyDescent="0.25">
      <c r="A214" s="170" t="s">
        <v>661</v>
      </c>
      <c r="B214" s="171" t="s">
        <v>662</v>
      </c>
      <c r="C214" s="170" t="s">
        <v>1120</v>
      </c>
      <c r="D214" s="171" t="s">
        <v>712</v>
      </c>
      <c r="E214" s="172" t="s">
        <v>541</v>
      </c>
      <c r="F214" s="170">
        <v>80</v>
      </c>
      <c r="G214" s="173">
        <v>9.98</v>
      </c>
      <c r="H214" s="173">
        <f t="shared" si="15"/>
        <v>11.477</v>
      </c>
      <c r="I214" s="173">
        <f>H214*F214</f>
        <v>918.16000000000008</v>
      </c>
      <c r="J214" s="173">
        <f t="shared" ref="J214:J277" si="18">I214*1.19</f>
        <v>1092.6104</v>
      </c>
    </row>
    <row r="215" spans="1:10" x14ac:dyDescent="0.25">
      <c r="A215" s="170" t="s">
        <v>661</v>
      </c>
      <c r="B215" s="171" t="s">
        <v>662</v>
      </c>
      <c r="C215" s="170" t="s">
        <v>973</v>
      </c>
      <c r="D215" s="171" t="s">
        <v>707</v>
      </c>
      <c r="E215" s="172" t="s">
        <v>452</v>
      </c>
      <c r="F215" s="170">
        <v>400</v>
      </c>
      <c r="G215" s="173">
        <v>2.5</v>
      </c>
      <c r="H215" s="173">
        <f t="shared" si="15"/>
        <v>2.875</v>
      </c>
      <c r="I215" s="173">
        <f t="shared" ref="I215:I278" si="19">H215*F215</f>
        <v>1150</v>
      </c>
      <c r="J215" s="173">
        <f t="shared" si="18"/>
        <v>1368.5</v>
      </c>
    </row>
    <row r="216" spans="1:10" x14ac:dyDescent="0.25">
      <c r="A216" s="170" t="s">
        <v>661</v>
      </c>
      <c r="B216" s="171" t="s">
        <v>662</v>
      </c>
      <c r="C216" s="170" t="s">
        <v>973</v>
      </c>
      <c r="D216" s="171" t="s">
        <v>707</v>
      </c>
      <c r="E216" s="172" t="s">
        <v>452</v>
      </c>
      <c r="F216" s="170">
        <v>2320</v>
      </c>
      <c r="G216" s="173">
        <v>3.07</v>
      </c>
      <c r="H216" s="173">
        <f t="shared" si="15"/>
        <v>3.5304999999999995</v>
      </c>
      <c r="I216" s="173">
        <f t="shared" si="19"/>
        <v>8190.7599999999993</v>
      </c>
      <c r="J216" s="173">
        <f t="shared" si="18"/>
        <v>9747.004399999998</v>
      </c>
    </row>
    <row r="217" spans="1:10" x14ac:dyDescent="0.25">
      <c r="A217" s="170" t="s">
        <v>661</v>
      </c>
      <c r="B217" s="171" t="s">
        <v>662</v>
      </c>
      <c r="C217" s="170" t="s">
        <v>1121</v>
      </c>
      <c r="D217" s="171" t="s">
        <v>1122</v>
      </c>
      <c r="E217" s="172" t="s">
        <v>452</v>
      </c>
      <c r="F217" s="170">
        <v>125</v>
      </c>
      <c r="G217" s="173">
        <v>20.99</v>
      </c>
      <c r="H217" s="173">
        <f t="shared" si="15"/>
        <v>24.138499999999997</v>
      </c>
      <c r="I217" s="173">
        <f t="shared" si="19"/>
        <v>3017.3124999999995</v>
      </c>
      <c r="J217" s="173">
        <f t="shared" si="18"/>
        <v>3590.6018749999994</v>
      </c>
    </row>
    <row r="218" spans="1:10" x14ac:dyDescent="0.25">
      <c r="A218" s="170" t="s">
        <v>661</v>
      </c>
      <c r="B218" s="171" t="s">
        <v>662</v>
      </c>
      <c r="C218" s="170" t="s">
        <v>1121</v>
      </c>
      <c r="D218" s="171" t="s">
        <v>715</v>
      </c>
      <c r="E218" s="172" t="s">
        <v>716</v>
      </c>
      <c r="F218" s="170">
        <v>1400</v>
      </c>
      <c r="G218" s="173">
        <v>6.89</v>
      </c>
      <c r="H218" s="173">
        <f t="shared" si="15"/>
        <v>7.9234999999999989</v>
      </c>
      <c r="I218" s="173">
        <f t="shared" si="19"/>
        <v>11092.899999999998</v>
      </c>
      <c r="J218" s="173">
        <f t="shared" si="18"/>
        <v>13200.550999999998</v>
      </c>
    </row>
    <row r="219" spans="1:10" x14ac:dyDescent="0.25">
      <c r="A219" s="170" t="s">
        <v>661</v>
      </c>
      <c r="B219" s="171" t="s">
        <v>662</v>
      </c>
      <c r="C219" s="170" t="s">
        <v>1121</v>
      </c>
      <c r="D219" s="171" t="s">
        <v>711</v>
      </c>
      <c r="E219" s="172" t="s">
        <v>452</v>
      </c>
      <c r="F219" s="170">
        <v>600</v>
      </c>
      <c r="G219" s="173">
        <v>0.79</v>
      </c>
      <c r="H219" s="173">
        <f t="shared" si="15"/>
        <v>0.90849999999999997</v>
      </c>
      <c r="I219" s="173">
        <f t="shared" si="19"/>
        <v>545.1</v>
      </c>
      <c r="J219" s="173">
        <f t="shared" si="18"/>
        <v>648.66899999999998</v>
      </c>
    </row>
    <row r="220" spans="1:10" x14ac:dyDescent="0.25">
      <c r="A220" s="170" t="s">
        <v>661</v>
      </c>
      <c r="B220" s="171" t="s">
        <v>662</v>
      </c>
      <c r="C220" s="170" t="s">
        <v>1121</v>
      </c>
      <c r="D220" s="171" t="s">
        <v>711</v>
      </c>
      <c r="E220" s="172" t="s">
        <v>452</v>
      </c>
      <c r="F220" s="170">
        <v>4900</v>
      </c>
      <c r="G220" s="173">
        <v>0.89</v>
      </c>
      <c r="H220" s="173">
        <f t="shared" si="15"/>
        <v>1.0234999999999999</v>
      </c>
      <c r="I220" s="173">
        <f t="shared" si="19"/>
        <v>5015.1499999999996</v>
      </c>
      <c r="J220" s="173">
        <f t="shared" si="18"/>
        <v>5968.0284999999994</v>
      </c>
    </row>
    <row r="221" spans="1:10" x14ac:dyDescent="0.25">
      <c r="A221" s="170" t="s">
        <v>661</v>
      </c>
      <c r="B221" s="171" t="s">
        <v>662</v>
      </c>
      <c r="C221" s="170" t="s">
        <v>1123</v>
      </c>
      <c r="D221" s="171" t="s">
        <v>1124</v>
      </c>
      <c r="E221" s="172" t="s">
        <v>452</v>
      </c>
      <c r="F221" s="170">
        <v>2600</v>
      </c>
      <c r="G221" s="173">
        <v>1.71</v>
      </c>
      <c r="H221" s="173">
        <f t="shared" si="15"/>
        <v>1.9664999999999999</v>
      </c>
      <c r="I221" s="173">
        <f t="shared" si="19"/>
        <v>5112.8999999999996</v>
      </c>
      <c r="J221" s="173">
        <f t="shared" si="18"/>
        <v>6084.3509999999997</v>
      </c>
    </row>
    <row r="222" spans="1:10" x14ac:dyDescent="0.25">
      <c r="A222" s="170" t="s">
        <v>661</v>
      </c>
      <c r="B222" s="171" t="s">
        <v>662</v>
      </c>
      <c r="C222" s="170" t="s">
        <v>1123</v>
      </c>
      <c r="D222" s="171" t="s">
        <v>708</v>
      </c>
      <c r="E222" s="172" t="s">
        <v>452</v>
      </c>
      <c r="F222" s="170">
        <v>6400</v>
      </c>
      <c r="G222" s="173">
        <v>2.5499999999999998</v>
      </c>
      <c r="H222" s="173">
        <f t="shared" si="15"/>
        <v>2.9324999999999997</v>
      </c>
      <c r="I222" s="173">
        <f t="shared" si="19"/>
        <v>18767.999999999996</v>
      </c>
      <c r="J222" s="173">
        <f t="shared" si="18"/>
        <v>22333.919999999995</v>
      </c>
    </row>
    <row r="223" spans="1:10" x14ac:dyDescent="0.25">
      <c r="A223" s="170" t="s">
        <v>661</v>
      </c>
      <c r="B223" s="171" t="s">
        <v>662</v>
      </c>
      <c r="C223" s="170" t="s">
        <v>1123</v>
      </c>
      <c r="D223" s="171" t="s">
        <v>709</v>
      </c>
      <c r="E223" s="172" t="s">
        <v>452</v>
      </c>
      <c r="F223" s="170">
        <v>6100</v>
      </c>
      <c r="G223" s="173">
        <v>3.41</v>
      </c>
      <c r="H223" s="173">
        <f t="shared" si="15"/>
        <v>3.9215</v>
      </c>
      <c r="I223" s="173">
        <f t="shared" si="19"/>
        <v>23921.15</v>
      </c>
      <c r="J223" s="173">
        <f t="shared" si="18"/>
        <v>28466.1685</v>
      </c>
    </row>
    <row r="224" spans="1:10" x14ac:dyDescent="0.25">
      <c r="A224" s="170" t="s">
        <v>661</v>
      </c>
      <c r="B224" s="171" t="s">
        <v>662</v>
      </c>
      <c r="C224" s="170" t="s">
        <v>1125</v>
      </c>
      <c r="D224" s="171" t="s">
        <v>713</v>
      </c>
      <c r="E224" s="172" t="s">
        <v>688</v>
      </c>
      <c r="F224" s="170">
        <v>229</v>
      </c>
      <c r="G224" s="173">
        <v>3.34</v>
      </c>
      <c r="H224" s="173">
        <f t="shared" si="15"/>
        <v>3.8409999999999997</v>
      </c>
      <c r="I224" s="173">
        <f t="shared" si="19"/>
        <v>879.58899999999994</v>
      </c>
      <c r="J224" s="173">
        <f t="shared" si="18"/>
        <v>1046.7109099999998</v>
      </c>
    </row>
    <row r="225" spans="1:10" x14ac:dyDescent="0.25">
      <c r="A225" s="170" t="s">
        <v>661</v>
      </c>
      <c r="B225" s="171" t="s">
        <v>662</v>
      </c>
      <c r="C225" s="170" t="s">
        <v>1126</v>
      </c>
      <c r="D225" s="171" t="s">
        <v>714</v>
      </c>
      <c r="E225" s="172" t="s">
        <v>541</v>
      </c>
      <c r="F225" s="170">
        <v>13</v>
      </c>
      <c r="G225" s="173">
        <v>18</v>
      </c>
      <c r="H225" s="173">
        <f t="shared" si="15"/>
        <v>20.7</v>
      </c>
      <c r="I225" s="173">
        <f t="shared" si="19"/>
        <v>269.09999999999997</v>
      </c>
      <c r="J225" s="173">
        <f t="shared" si="18"/>
        <v>320.22899999999993</v>
      </c>
    </row>
    <row r="226" spans="1:10" x14ac:dyDescent="0.25">
      <c r="A226" s="170" t="s">
        <v>661</v>
      </c>
      <c r="B226" s="171" t="s">
        <v>662</v>
      </c>
      <c r="C226" s="174" t="s">
        <v>1127</v>
      </c>
      <c r="D226" s="171" t="s">
        <v>1128</v>
      </c>
      <c r="E226" s="172" t="s">
        <v>452</v>
      </c>
      <c r="F226" s="170">
        <v>50</v>
      </c>
      <c r="G226" s="173">
        <v>39</v>
      </c>
      <c r="H226" s="173">
        <f t="shared" si="15"/>
        <v>44.849999999999994</v>
      </c>
      <c r="I226" s="173">
        <f t="shared" si="19"/>
        <v>2242.4999999999995</v>
      </c>
      <c r="J226" s="173">
        <f t="shared" si="18"/>
        <v>2668.5749999999994</v>
      </c>
    </row>
    <row r="227" spans="1:10" x14ac:dyDescent="0.25">
      <c r="A227" s="170" t="s">
        <v>661</v>
      </c>
      <c r="B227" s="171" t="s">
        <v>662</v>
      </c>
      <c r="C227" s="170" t="s">
        <v>1123</v>
      </c>
      <c r="D227" s="171" t="s">
        <v>710</v>
      </c>
      <c r="E227" s="172" t="s">
        <v>455</v>
      </c>
      <c r="F227" s="170">
        <v>6100</v>
      </c>
      <c r="G227" s="173">
        <v>1.42</v>
      </c>
      <c r="H227" s="173">
        <f t="shared" si="15"/>
        <v>1.6329999999999998</v>
      </c>
      <c r="I227" s="173">
        <f t="shared" si="19"/>
        <v>9961.2999999999993</v>
      </c>
      <c r="J227" s="173">
        <f t="shared" si="18"/>
        <v>11853.946999999998</v>
      </c>
    </row>
    <row r="228" spans="1:10" x14ac:dyDescent="0.25">
      <c r="A228" s="170" t="s">
        <v>661</v>
      </c>
      <c r="B228" s="171" t="s">
        <v>662</v>
      </c>
      <c r="C228" s="170" t="s">
        <v>1129</v>
      </c>
      <c r="D228" s="171" t="s">
        <v>706</v>
      </c>
      <c r="E228" s="172" t="s">
        <v>682</v>
      </c>
      <c r="F228" s="170">
        <v>1870</v>
      </c>
      <c r="G228" s="173">
        <v>5.75</v>
      </c>
      <c r="H228" s="173">
        <f t="shared" si="15"/>
        <v>6.6124999999999998</v>
      </c>
      <c r="I228" s="173">
        <f t="shared" si="19"/>
        <v>12365.375</v>
      </c>
      <c r="J228" s="173">
        <f t="shared" si="18"/>
        <v>14714.796249999999</v>
      </c>
    </row>
    <row r="229" spans="1:10" x14ac:dyDescent="0.25">
      <c r="A229" s="170" t="s">
        <v>661</v>
      </c>
      <c r="B229" s="171" t="s">
        <v>662</v>
      </c>
      <c r="C229" s="170" t="s">
        <v>1130</v>
      </c>
      <c r="D229" s="171" t="s">
        <v>1131</v>
      </c>
      <c r="E229" s="172" t="s">
        <v>452</v>
      </c>
      <c r="F229" s="170">
        <v>1</v>
      </c>
      <c r="G229" s="173">
        <v>805</v>
      </c>
      <c r="H229" s="173">
        <f t="shared" si="15"/>
        <v>925.74999999999989</v>
      </c>
      <c r="I229" s="173">
        <f t="shared" si="19"/>
        <v>925.74999999999989</v>
      </c>
      <c r="J229" s="173">
        <f t="shared" si="18"/>
        <v>1101.6424999999999</v>
      </c>
    </row>
    <row r="230" spans="1:10" ht="30" x14ac:dyDescent="0.25">
      <c r="A230" s="170" t="s">
        <v>661</v>
      </c>
      <c r="B230" s="171" t="s">
        <v>662</v>
      </c>
      <c r="C230" s="170" t="s">
        <v>1130</v>
      </c>
      <c r="D230" s="171" t="s">
        <v>1132</v>
      </c>
      <c r="E230" s="172" t="s">
        <v>452</v>
      </c>
      <c r="F230" s="170">
        <v>1</v>
      </c>
      <c r="G230" s="173">
        <v>805</v>
      </c>
      <c r="H230" s="173">
        <f t="shared" si="15"/>
        <v>925.74999999999989</v>
      </c>
      <c r="I230" s="173">
        <f t="shared" si="19"/>
        <v>925.74999999999989</v>
      </c>
      <c r="J230" s="173">
        <f t="shared" si="18"/>
        <v>1101.6424999999999</v>
      </c>
    </row>
    <row r="231" spans="1:10" ht="30" x14ac:dyDescent="0.25">
      <c r="A231" s="170" t="s">
        <v>661</v>
      </c>
      <c r="B231" s="171" t="s">
        <v>662</v>
      </c>
      <c r="C231" s="170" t="s">
        <v>1130</v>
      </c>
      <c r="D231" s="171" t="s">
        <v>1133</v>
      </c>
      <c r="E231" s="172" t="s">
        <v>452</v>
      </c>
      <c r="F231" s="170">
        <v>14</v>
      </c>
      <c r="G231" s="173">
        <v>805</v>
      </c>
      <c r="H231" s="173">
        <f t="shared" si="15"/>
        <v>925.74999999999989</v>
      </c>
      <c r="I231" s="173">
        <f t="shared" si="19"/>
        <v>12960.499999999998</v>
      </c>
      <c r="J231" s="173">
        <f t="shared" si="18"/>
        <v>15422.994999999997</v>
      </c>
    </row>
    <row r="232" spans="1:10" x14ac:dyDescent="0.25">
      <c r="A232" s="170" t="s">
        <v>661</v>
      </c>
      <c r="B232" s="171" t="s">
        <v>662</v>
      </c>
      <c r="C232" s="170" t="s">
        <v>1134</v>
      </c>
      <c r="D232" s="171" t="s">
        <v>669</v>
      </c>
      <c r="E232" s="172" t="s">
        <v>452</v>
      </c>
      <c r="F232" s="170">
        <v>324</v>
      </c>
      <c r="G232" s="173">
        <v>3.38</v>
      </c>
      <c r="H232" s="173">
        <f t="shared" si="15"/>
        <v>3.8869999999999996</v>
      </c>
      <c r="I232" s="173">
        <f t="shared" si="19"/>
        <v>1259.3879999999999</v>
      </c>
      <c r="J232" s="173">
        <f t="shared" si="18"/>
        <v>1498.6717199999998</v>
      </c>
    </row>
    <row r="233" spans="1:10" x14ac:dyDescent="0.25">
      <c r="A233" s="170" t="s">
        <v>661</v>
      </c>
      <c r="B233" s="171" t="s">
        <v>662</v>
      </c>
      <c r="C233" s="170" t="s">
        <v>1134</v>
      </c>
      <c r="D233" s="171" t="s">
        <v>1135</v>
      </c>
      <c r="E233" s="172" t="s">
        <v>452</v>
      </c>
      <c r="F233" s="170">
        <v>984</v>
      </c>
      <c r="G233" s="173">
        <v>3.38</v>
      </c>
      <c r="H233" s="173">
        <f t="shared" si="15"/>
        <v>3.8869999999999996</v>
      </c>
      <c r="I233" s="173">
        <f t="shared" si="19"/>
        <v>3824.8079999999995</v>
      </c>
      <c r="J233" s="173">
        <f t="shared" si="18"/>
        <v>4551.5215199999993</v>
      </c>
    </row>
    <row r="234" spans="1:10" x14ac:dyDescent="0.25">
      <c r="A234" s="170" t="s">
        <v>661</v>
      </c>
      <c r="B234" s="171" t="s">
        <v>662</v>
      </c>
      <c r="C234" s="170" t="s">
        <v>1134</v>
      </c>
      <c r="D234" s="171" t="s">
        <v>1136</v>
      </c>
      <c r="E234" s="172" t="s">
        <v>452</v>
      </c>
      <c r="F234" s="170">
        <v>600</v>
      </c>
      <c r="G234" s="173">
        <v>3.38</v>
      </c>
      <c r="H234" s="173">
        <f t="shared" si="15"/>
        <v>3.8869999999999996</v>
      </c>
      <c r="I234" s="173">
        <f t="shared" si="19"/>
        <v>2332.1999999999998</v>
      </c>
      <c r="J234" s="173">
        <f t="shared" si="18"/>
        <v>2775.3179999999998</v>
      </c>
    </row>
    <row r="235" spans="1:10" x14ac:dyDescent="0.25">
      <c r="A235" s="170" t="s">
        <v>661</v>
      </c>
      <c r="B235" s="171" t="s">
        <v>662</v>
      </c>
      <c r="C235" s="170" t="s">
        <v>1134</v>
      </c>
      <c r="D235" s="171" t="s">
        <v>1136</v>
      </c>
      <c r="E235" s="172" t="s">
        <v>452</v>
      </c>
      <c r="F235" s="170">
        <v>60</v>
      </c>
      <c r="G235" s="173">
        <v>3.86</v>
      </c>
      <c r="H235" s="173">
        <f t="shared" si="15"/>
        <v>4.4389999999999992</v>
      </c>
      <c r="I235" s="173">
        <f t="shared" si="19"/>
        <v>266.33999999999997</v>
      </c>
      <c r="J235" s="173">
        <f t="shared" si="18"/>
        <v>316.94459999999998</v>
      </c>
    </row>
    <row r="236" spans="1:10" x14ac:dyDescent="0.25">
      <c r="A236" s="170" t="s">
        <v>661</v>
      </c>
      <c r="B236" s="171" t="s">
        <v>662</v>
      </c>
      <c r="C236" s="170" t="s">
        <v>1134</v>
      </c>
      <c r="D236" s="171" t="s">
        <v>671</v>
      </c>
      <c r="E236" s="172" t="s">
        <v>452</v>
      </c>
      <c r="F236" s="170">
        <v>984</v>
      </c>
      <c r="G236" s="173">
        <v>3.38</v>
      </c>
      <c r="H236" s="173">
        <f t="shared" si="15"/>
        <v>3.8869999999999996</v>
      </c>
      <c r="I236" s="173">
        <f t="shared" si="19"/>
        <v>3824.8079999999995</v>
      </c>
      <c r="J236" s="173">
        <f t="shared" si="18"/>
        <v>4551.5215199999993</v>
      </c>
    </row>
    <row r="237" spans="1:10" x14ac:dyDescent="0.25">
      <c r="A237" s="170" t="s">
        <v>661</v>
      </c>
      <c r="B237" s="171" t="s">
        <v>662</v>
      </c>
      <c r="C237" s="170" t="s">
        <v>1134</v>
      </c>
      <c r="D237" s="171" t="s">
        <v>670</v>
      </c>
      <c r="E237" s="172" t="s">
        <v>452</v>
      </c>
      <c r="F237" s="170">
        <v>24</v>
      </c>
      <c r="G237" s="173">
        <v>2.81</v>
      </c>
      <c r="H237" s="173">
        <f t="shared" si="15"/>
        <v>3.2314999999999996</v>
      </c>
      <c r="I237" s="173">
        <f t="shared" si="19"/>
        <v>77.555999999999983</v>
      </c>
      <c r="J237" s="173">
        <f t="shared" si="18"/>
        <v>92.291639999999973</v>
      </c>
    </row>
    <row r="238" spans="1:10" x14ac:dyDescent="0.25">
      <c r="A238" s="170" t="s">
        <v>661</v>
      </c>
      <c r="B238" s="171" t="s">
        <v>662</v>
      </c>
      <c r="C238" s="170" t="s">
        <v>1134</v>
      </c>
      <c r="D238" s="171" t="s">
        <v>670</v>
      </c>
      <c r="E238" s="172" t="s">
        <v>452</v>
      </c>
      <c r="F238" s="170">
        <v>960</v>
      </c>
      <c r="G238" s="173">
        <v>3.38</v>
      </c>
      <c r="H238" s="173">
        <f t="shared" si="15"/>
        <v>3.8869999999999996</v>
      </c>
      <c r="I238" s="173">
        <f t="shared" si="19"/>
        <v>3731.5199999999995</v>
      </c>
      <c r="J238" s="173">
        <f t="shared" si="18"/>
        <v>4440.5087999999996</v>
      </c>
    </row>
    <row r="239" spans="1:10" x14ac:dyDescent="0.25">
      <c r="A239" s="170" t="s">
        <v>661</v>
      </c>
      <c r="B239" s="171" t="s">
        <v>662</v>
      </c>
      <c r="C239" s="170" t="s">
        <v>1130</v>
      </c>
      <c r="D239" s="171" t="s">
        <v>1137</v>
      </c>
      <c r="E239" s="172" t="s">
        <v>452</v>
      </c>
      <c r="F239" s="170">
        <v>7000</v>
      </c>
      <c r="G239" s="173">
        <v>0.2</v>
      </c>
      <c r="H239" s="173">
        <f t="shared" si="15"/>
        <v>0.22999999999999998</v>
      </c>
      <c r="I239" s="173">
        <f t="shared" si="19"/>
        <v>1609.9999999999998</v>
      </c>
      <c r="J239" s="173">
        <f t="shared" si="18"/>
        <v>1915.8999999999996</v>
      </c>
    </row>
    <row r="240" spans="1:10" ht="30" x14ac:dyDescent="0.25">
      <c r="A240" s="170" t="s">
        <v>661</v>
      </c>
      <c r="B240" s="171" t="s">
        <v>662</v>
      </c>
      <c r="C240" s="170" t="s">
        <v>1138</v>
      </c>
      <c r="D240" s="171" t="s">
        <v>1139</v>
      </c>
      <c r="E240" s="172" t="s">
        <v>452</v>
      </c>
      <c r="F240" s="170">
        <v>350</v>
      </c>
      <c r="G240" s="173">
        <v>11.8</v>
      </c>
      <c r="H240" s="173">
        <f t="shared" si="15"/>
        <v>13.57</v>
      </c>
      <c r="I240" s="173">
        <f t="shared" si="19"/>
        <v>4749.5</v>
      </c>
      <c r="J240" s="173">
        <f t="shared" si="18"/>
        <v>5651.9049999999997</v>
      </c>
    </row>
    <row r="241" spans="1:10" x14ac:dyDescent="0.25">
      <c r="A241" s="170" t="s">
        <v>661</v>
      </c>
      <c r="B241" s="171" t="s">
        <v>662</v>
      </c>
      <c r="C241" s="170" t="s">
        <v>1130</v>
      </c>
      <c r="D241" s="171" t="s">
        <v>663</v>
      </c>
      <c r="E241" s="172" t="s">
        <v>452</v>
      </c>
      <c r="F241" s="170">
        <v>12000</v>
      </c>
      <c r="G241" s="173">
        <v>0.2</v>
      </c>
      <c r="H241" s="173">
        <f t="shared" si="15"/>
        <v>0.22999999999999998</v>
      </c>
      <c r="I241" s="173">
        <f t="shared" si="19"/>
        <v>2760</v>
      </c>
      <c r="J241" s="173">
        <f t="shared" si="18"/>
        <v>3284.3999999999996</v>
      </c>
    </row>
    <row r="242" spans="1:10" x14ac:dyDescent="0.25">
      <c r="A242" s="170" t="s">
        <v>661</v>
      </c>
      <c r="B242" s="171" t="s">
        <v>662</v>
      </c>
      <c r="C242" s="170" t="s">
        <v>1130</v>
      </c>
      <c r="D242" s="171" t="s">
        <v>1140</v>
      </c>
      <c r="E242" s="172" t="s">
        <v>682</v>
      </c>
      <c r="F242" s="170">
        <v>2</v>
      </c>
      <c r="G242" s="173">
        <v>176.5</v>
      </c>
      <c r="H242" s="173">
        <f t="shared" si="15"/>
        <v>202.97499999999999</v>
      </c>
      <c r="I242" s="173">
        <f t="shared" si="19"/>
        <v>405.95</v>
      </c>
      <c r="J242" s="173">
        <f t="shared" si="18"/>
        <v>483.08049999999997</v>
      </c>
    </row>
    <row r="243" spans="1:10" x14ac:dyDescent="0.25">
      <c r="A243" s="170" t="s">
        <v>661</v>
      </c>
      <c r="B243" s="171" t="s">
        <v>662</v>
      </c>
      <c r="C243" s="170" t="s">
        <v>1130</v>
      </c>
      <c r="D243" s="171" t="s">
        <v>703</v>
      </c>
      <c r="E243" s="172" t="s">
        <v>452</v>
      </c>
      <c r="F243" s="170">
        <v>20000</v>
      </c>
      <c r="G243" s="173">
        <v>0.24</v>
      </c>
      <c r="H243" s="173">
        <f t="shared" si="15"/>
        <v>0.27599999999999997</v>
      </c>
      <c r="I243" s="173">
        <f t="shared" si="19"/>
        <v>5519.9999999999991</v>
      </c>
      <c r="J243" s="173">
        <f t="shared" si="18"/>
        <v>6568.7999999999984</v>
      </c>
    </row>
    <row r="244" spans="1:10" x14ac:dyDescent="0.25">
      <c r="A244" s="170" t="s">
        <v>661</v>
      </c>
      <c r="B244" s="171" t="s">
        <v>662</v>
      </c>
      <c r="C244" s="170" t="s">
        <v>1138</v>
      </c>
      <c r="D244" s="171" t="s">
        <v>673</v>
      </c>
      <c r="E244" s="172" t="s">
        <v>452</v>
      </c>
      <c r="F244" s="170">
        <v>100</v>
      </c>
      <c r="G244" s="173">
        <v>3.4</v>
      </c>
      <c r="H244" s="173">
        <f t="shared" si="15"/>
        <v>3.9099999999999997</v>
      </c>
      <c r="I244" s="173">
        <f t="shared" si="19"/>
        <v>390.99999999999994</v>
      </c>
      <c r="J244" s="173">
        <f t="shared" si="18"/>
        <v>465.28999999999991</v>
      </c>
    </row>
    <row r="245" spans="1:10" x14ac:dyDescent="0.25">
      <c r="A245" s="170" t="s">
        <v>661</v>
      </c>
      <c r="B245" s="171" t="s">
        <v>662</v>
      </c>
      <c r="C245" s="170" t="s">
        <v>1138</v>
      </c>
      <c r="D245" s="171" t="s">
        <v>668</v>
      </c>
      <c r="E245" s="172" t="s">
        <v>452</v>
      </c>
      <c r="F245" s="170">
        <v>500</v>
      </c>
      <c r="G245" s="173">
        <v>11.8</v>
      </c>
      <c r="H245" s="173">
        <f t="shared" si="15"/>
        <v>13.57</v>
      </c>
      <c r="I245" s="173">
        <f t="shared" si="19"/>
        <v>6785</v>
      </c>
      <c r="J245" s="173">
        <f t="shared" si="18"/>
        <v>8074.15</v>
      </c>
    </row>
    <row r="246" spans="1:10" x14ac:dyDescent="0.25">
      <c r="A246" s="170" t="s">
        <v>661</v>
      </c>
      <c r="B246" s="171" t="s">
        <v>662</v>
      </c>
      <c r="C246" s="170" t="s">
        <v>1141</v>
      </c>
      <c r="D246" s="171" t="s">
        <v>1142</v>
      </c>
      <c r="E246" s="172" t="s">
        <v>452</v>
      </c>
      <c r="F246" s="170">
        <v>74000</v>
      </c>
      <c r="G246" s="173">
        <v>0.14000000000000001</v>
      </c>
      <c r="H246" s="173">
        <f t="shared" si="15"/>
        <v>0.161</v>
      </c>
      <c r="I246" s="173">
        <f t="shared" si="19"/>
        <v>11914</v>
      </c>
      <c r="J246" s="173">
        <f t="shared" si="18"/>
        <v>14177.66</v>
      </c>
    </row>
    <row r="247" spans="1:10" x14ac:dyDescent="0.25">
      <c r="A247" s="170" t="s">
        <v>661</v>
      </c>
      <c r="B247" s="171" t="s">
        <v>662</v>
      </c>
      <c r="C247" s="170" t="s">
        <v>1143</v>
      </c>
      <c r="D247" s="171" t="s">
        <v>1144</v>
      </c>
      <c r="E247" s="172" t="s">
        <v>682</v>
      </c>
      <c r="F247" s="170">
        <v>1</v>
      </c>
      <c r="G247" s="173">
        <v>383</v>
      </c>
      <c r="H247" s="173">
        <f t="shared" si="15"/>
        <v>440.45</v>
      </c>
      <c r="I247" s="173">
        <f t="shared" si="19"/>
        <v>440.45</v>
      </c>
      <c r="J247" s="173">
        <f t="shared" si="18"/>
        <v>524.13549999999998</v>
      </c>
    </row>
    <row r="248" spans="1:10" x14ac:dyDescent="0.25">
      <c r="A248" s="170" t="s">
        <v>661</v>
      </c>
      <c r="B248" s="171" t="s">
        <v>662</v>
      </c>
      <c r="C248" s="170" t="s">
        <v>1143</v>
      </c>
      <c r="D248" s="171" t="s">
        <v>1145</v>
      </c>
      <c r="E248" s="172" t="s">
        <v>682</v>
      </c>
      <c r="F248" s="170">
        <v>2</v>
      </c>
      <c r="G248" s="173">
        <v>383</v>
      </c>
      <c r="H248" s="173">
        <f t="shared" si="15"/>
        <v>440.45</v>
      </c>
      <c r="I248" s="173">
        <f t="shared" si="19"/>
        <v>880.9</v>
      </c>
      <c r="J248" s="173">
        <f t="shared" si="18"/>
        <v>1048.271</v>
      </c>
    </row>
    <row r="249" spans="1:10" x14ac:dyDescent="0.25">
      <c r="A249" s="170" t="s">
        <v>661</v>
      </c>
      <c r="B249" s="171" t="s">
        <v>662</v>
      </c>
      <c r="C249" s="170" t="s">
        <v>1146</v>
      </c>
      <c r="D249" s="171" t="s">
        <v>1147</v>
      </c>
      <c r="E249" s="172" t="s">
        <v>541</v>
      </c>
      <c r="F249" s="170">
        <v>10</v>
      </c>
      <c r="G249" s="173">
        <v>32.700000000000003</v>
      </c>
      <c r="H249" s="173">
        <f t="shared" si="15"/>
        <v>37.604999999999997</v>
      </c>
      <c r="I249" s="173">
        <f t="shared" si="19"/>
        <v>376.04999999999995</v>
      </c>
      <c r="J249" s="173">
        <f t="shared" si="18"/>
        <v>447.4994999999999</v>
      </c>
    </row>
    <row r="250" spans="1:10" x14ac:dyDescent="0.25">
      <c r="A250" s="170" t="s">
        <v>661</v>
      </c>
      <c r="B250" s="171" t="s">
        <v>662</v>
      </c>
      <c r="C250" s="170" t="s">
        <v>1148</v>
      </c>
      <c r="D250" s="171" t="s">
        <v>664</v>
      </c>
      <c r="E250" s="172" t="s">
        <v>452</v>
      </c>
      <c r="F250" s="170">
        <v>2100</v>
      </c>
      <c r="G250" s="173">
        <v>3.92</v>
      </c>
      <c r="H250" s="173">
        <f t="shared" si="15"/>
        <v>4.508</v>
      </c>
      <c r="I250" s="173">
        <f t="shared" si="19"/>
        <v>9466.7999999999993</v>
      </c>
      <c r="J250" s="173">
        <f t="shared" si="18"/>
        <v>11265.491999999998</v>
      </c>
    </row>
    <row r="251" spans="1:10" x14ac:dyDescent="0.25">
      <c r="A251" s="170" t="s">
        <v>661</v>
      </c>
      <c r="B251" s="171" t="s">
        <v>662</v>
      </c>
      <c r="C251" s="170" t="s">
        <v>1149</v>
      </c>
      <c r="D251" s="171" t="s">
        <v>697</v>
      </c>
      <c r="E251" s="172" t="s">
        <v>452</v>
      </c>
      <c r="F251" s="170">
        <v>868</v>
      </c>
      <c r="G251" s="173">
        <v>1.2</v>
      </c>
      <c r="H251" s="173">
        <f t="shared" si="15"/>
        <v>1.38</v>
      </c>
      <c r="I251" s="173">
        <f t="shared" si="19"/>
        <v>1197.8399999999999</v>
      </c>
      <c r="J251" s="173">
        <f t="shared" si="18"/>
        <v>1425.4295999999999</v>
      </c>
    </row>
    <row r="252" spans="1:10" ht="30" x14ac:dyDescent="0.25">
      <c r="A252" s="170" t="s">
        <v>661</v>
      </c>
      <c r="B252" s="171" t="s">
        <v>662</v>
      </c>
      <c r="C252" s="170" t="s">
        <v>1150</v>
      </c>
      <c r="D252" s="171" t="s">
        <v>1151</v>
      </c>
      <c r="E252" s="172" t="s">
        <v>452</v>
      </c>
      <c r="F252" s="170">
        <v>1</v>
      </c>
      <c r="G252" s="173">
        <v>395.9</v>
      </c>
      <c r="H252" s="173">
        <f t="shared" si="15"/>
        <v>455.28499999999991</v>
      </c>
      <c r="I252" s="173">
        <f t="shared" si="19"/>
        <v>455.28499999999991</v>
      </c>
      <c r="J252" s="173">
        <f t="shared" si="18"/>
        <v>541.78914999999984</v>
      </c>
    </row>
    <row r="253" spans="1:10" x14ac:dyDescent="0.25">
      <c r="A253" s="170" t="s">
        <v>661</v>
      </c>
      <c r="B253" s="171" t="s">
        <v>662</v>
      </c>
      <c r="C253" s="170" t="s">
        <v>1152</v>
      </c>
      <c r="D253" s="171" t="s">
        <v>681</v>
      </c>
      <c r="E253" s="172" t="s">
        <v>452</v>
      </c>
      <c r="F253" s="170">
        <v>14</v>
      </c>
      <c r="G253" s="173">
        <v>125</v>
      </c>
      <c r="H253" s="173">
        <f t="shared" si="15"/>
        <v>143.75</v>
      </c>
      <c r="I253" s="173">
        <f t="shared" si="19"/>
        <v>2012.5</v>
      </c>
      <c r="J253" s="173">
        <f t="shared" si="18"/>
        <v>2394.875</v>
      </c>
    </row>
    <row r="254" spans="1:10" x14ac:dyDescent="0.25">
      <c r="A254" s="170" t="s">
        <v>661</v>
      </c>
      <c r="B254" s="171" t="s">
        <v>662</v>
      </c>
      <c r="C254" s="170" t="s">
        <v>1141</v>
      </c>
      <c r="D254" s="171" t="s">
        <v>1153</v>
      </c>
      <c r="E254" s="172" t="s">
        <v>452</v>
      </c>
      <c r="F254" s="170">
        <v>17000</v>
      </c>
      <c r="G254" s="173">
        <v>0.2</v>
      </c>
      <c r="H254" s="173">
        <f t="shared" si="15"/>
        <v>0.22999999999999998</v>
      </c>
      <c r="I254" s="173">
        <f t="shared" si="19"/>
        <v>3909.9999999999995</v>
      </c>
      <c r="J254" s="173">
        <f t="shared" si="18"/>
        <v>4652.8999999999996</v>
      </c>
    </row>
    <row r="255" spans="1:10" x14ac:dyDescent="0.25">
      <c r="A255" s="170" t="s">
        <v>661</v>
      </c>
      <c r="B255" s="171" t="s">
        <v>662</v>
      </c>
      <c r="C255" s="170" t="s">
        <v>1154</v>
      </c>
      <c r="D255" s="171" t="s">
        <v>1155</v>
      </c>
      <c r="E255" s="172" t="s">
        <v>452</v>
      </c>
      <c r="F255" s="170">
        <v>34000</v>
      </c>
      <c r="G255" s="173">
        <v>1.24</v>
      </c>
      <c r="H255" s="173">
        <f t="shared" si="15"/>
        <v>1.4259999999999999</v>
      </c>
      <c r="I255" s="173">
        <f t="shared" si="19"/>
        <v>48484</v>
      </c>
      <c r="J255" s="173">
        <f t="shared" si="18"/>
        <v>57695.96</v>
      </c>
    </row>
    <row r="256" spans="1:10" x14ac:dyDescent="0.25">
      <c r="A256" s="170" t="s">
        <v>661</v>
      </c>
      <c r="B256" s="171" t="s">
        <v>662</v>
      </c>
      <c r="C256" s="170" t="s">
        <v>1156</v>
      </c>
      <c r="D256" s="171" t="s">
        <v>683</v>
      </c>
      <c r="E256" s="172" t="s">
        <v>452</v>
      </c>
      <c r="F256" s="170">
        <v>38</v>
      </c>
      <c r="G256" s="173">
        <v>178.2</v>
      </c>
      <c r="H256" s="173">
        <f t="shared" si="15"/>
        <v>204.92999999999998</v>
      </c>
      <c r="I256" s="173">
        <f t="shared" si="19"/>
        <v>7787.3399999999992</v>
      </c>
      <c r="J256" s="173">
        <f t="shared" si="18"/>
        <v>9266.9345999999987</v>
      </c>
    </row>
    <row r="257" spans="1:10" x14ac:dyDescent="0.25">
      <c r="A257" s="170" t="s">
        <v>661</v>
      </c>
      <c r="B257" s="171" t="s">
        <v>662</v>
      </c>
      <c r="C257" s="174" t="s">
        <v>1043</v>
      </c>
      <c r="D257" s="171" t="s">
        <v>1157</v>
      </c>
      <c r="E257" s="172" t="s">
        <v>452</v>
      </c>
      <c r="F257" s="170">
        <v>5</v>
      </c>
      <c r="G257" s="173">
        <v>509</v>
      </c>
      <c r="H257" s="173">
        <f t="shared" si="15"/>
        <v>585.34999999999991</v>
      </c>
      <c r="I257" s="173">
        <f t="shared" si="19"/>
        <v>2926.7499999999995</v>
      </c>
      <c r="J257" s="173">
        <f t="shared" si="18"/>
        <v>3482.8324999999995</v>
      </c>
    </row>
    <row r="258" spans="1:10" x14ac:dyDescent="0.25">
      <c r="A258" s="170" t="s">
        <v>661</v>
      </c>
      <c r="B258" s="171" t="s">
        <v>662</v>
      </c>
      <c r="C258" s="170" t="s">
        <v>1158</v>
      </c>
      <c r="D258" s="171" t="s">
        <v>699</v>
      </c>
      <c r="E258" s="172" t="s">
        <v>452</v>
      </c>
      <c r="F258" s="170">
        <v>50</v>
      </c>
      <c r="G258" s="173">
        <v>67</v>
      </c>
      <c r="H258" s="173">
        <f t="shared" si="15"/>
        <v>77.05</v>
      </c>
      <c r="I258" s="173">
        <f t="shared" si="19"/>
        <v>3852.5</v>
      </c>
      <c r="J258" s="173">
        <f t="shared" si="18"/>
        <v>4584.4749999999995</v>
      </c>
    </row>
    <row r="259" spans="1:10" x14ac:dyDescent="0.25">
      <c r="A259" s="170" t="s">
        <v>661</v>
      </c>
      <c r="B259" s="171" t="s">
        <v>662</v>
      </c>
      <c r="C259" s="170" t="s">
        <v>1159</v>
      </c>
      <c r="D259" s="171" t="s">
        <v>678</v>
      </c>
      <c r="E259" s="172" t="s">
        <v>452</v>
      </c>
      <c r="F259" s="170">
        <v>700</v>
      </c>
      <c r="G259" s="173">
        <v>2.78</v>
      </c>
      <c r="H259" s="173">
        <f t="shared" ref="H259:H322" si="20">G259*1.15</f>
        <v>3.1969999999999996</v>
      </c>
      <c r="I259" s="173">
        <f t="shared" si="19"/>
        <v>2237.8999999999996</v>
      </c>
      <c r="J259" s="173">
        <f t="shared" si="18"/>
        <v>2663.1009999999997</v>
      </c>
    </row>
    <row r="260" spans="1:10" x14ac:dyDescent="0.25">
      <c r="A260" s="170" t="s">
        <v>661</v>
      </c>
      <c r="B260" s="171" t="s">
        <v>662</v>
      </c>
      <c r="C260" s="170" t="s">
        <v>1159</v>
      </c>
      <c r="D260" s="171" t="s">
        <v>1160</v>
      </c>
      <c r="E260" s="172" t="s">
        <v>452</v>
      </c>
      <c r="F260" s="170">
        <v>50</v>
      </c>
      <c r="G260" s="173">
        <v>63.3</v>
      </c>
      <c r="H260" s="173">
        <f t="shared" si="20"/>
        <v>72.794999999999987</v>
      </c>
      <c r="I260" s="173">
        <f t="shared" si="19"/>
        <v>3639.7499999999995</v>
      </c>
      <c r="J260" s="173">
        <f t="shared" si="18"/>
        <v>4331.3024999999989</v>
      </c>
    </row>
    <row r="261" spans="1:10" x14ac:dyDescent="0.25">
      <c r="A261" s="170" t="s">
        <v>661</v>
      </c>
      <c r="B261" s="171" t="s">
        <v>662</v>
      </c>
      <c r="C261" s="170" t="s">
        <v>1159</v>
      </c>
      <c r="D261" s="171" t="s">
        <v>1161</v>
      </c>
      <c r="E261" s="172" t="s">
        <v>452</v>
      </c>
      <c r="F261" s="170">
        <v>50</v>
      </c>
      <c r="G261" s="173">
        <v>63.3</v>
      </c>
      <c r="H261" s="173">
        <f t="shared" si="20"/>
        <v>72.794999999999987</v>
      </c>
      <c r="I261" s="173">
        <f t="shared" si="19"/>
        <v>3639.7499999999995</v>
      </c>
      <c r="J261" s="173">
        <f t="shared" si="18"/>
        <v>4331.3024999999989</v>
      </c>
    </row>
    <row r="262" spans="1:10" x14ac:dyDescent="0.25">
      <c r="A262" s="170" t="s">
        <v>661</v>
      </c>
      <c r="B262" s="171" t="s">
        <v>662</v>
      </c>
      <c r="C262" s="170" t="s">
        <v>1162</v>
      </c>
      <c r="D262" s="171" t="s">
        <v>1163</v>
      </c>
      <c r="E262" s="172" t="s">
        <v>452</v>
      </c>
      <c r="F262" s="170">
        <v>50</v>
      </c>
      <c r="G262" s="173">
        <v>85</v>
      </c>
      <c r="H262" s="173">
        <f t="shared" si="20"/>
        <v>97.749999999999986</v>
      </c>
      <c r="I262" s="173">
        <f t="shared" si="19"/>
        <v>4887.4999999999991</v>
      </c>
      <c r="J262" s="173">
        <f t="shared" si="18"/>
        <v>5816.1249999999991</v>
      </c>
    </row>
    <row r="263" spans="1:10" x14ac:dyDescent="0.25">
      <c r="A263" s="170" t="s">
        <v>661</v>
      </c>
      <c r="B263" s="171" t="s">
        <v>662</v>
      </c>
      <c r="C263" s="170" t="s">
        <v>1154</v>
      </c>
      <c r="D263" s="171" t="s">
        <v>1164</v>
      </c>
      <c r="E263" s="172" t="s">
        <v>452</v>
      </c>
      <c r="F263" s="170">
        <v>40</v>
      </c>
      <c r="G263" s="173">
        <v>120</v>
      </c>
      <c r="H263" s="173">
        <f t="shared" si="20"/>
        <v>138</v>
      </c>
      <c r="I263" s="173">
        <f t="shared" si="19"/>
        <v>5520</v>
      </c>
      <c r="J263" s="173">
        <f t="shared" si="18"/>
        <v>6568.7999999999993</v>
      </c>
    </row>
    <row r="264" spans="1:10" x14ac:dyDescent="0.25">
      <c r="A264" s="170" t="s">
        <v>661</v>
      </c>
      <c r="B264" s="171" t="s">
        <v>662</v>
      </c>
      <c r="C264" s="170" t="s">
        <v>1154</v>
      </c>
      <c r="D264" s="171" t="s">
        <v>679</v>
      </c>
      <c r="E264" s="172" t="s">
        <v>452</v>
      </c>
      <c r="F264" s="170">
        <v>140</v>
      </c>
      <c r="G264" s="173">
        <v>61</v>
      </c>
      <c r="H264" s="173">
        <f t="shared" si="20"/>
        <v>70.149999999999991</v>
      </c>
      <c r="I264" s="173">
        <f t="shared" si="19"/>
        <v>9820.9999999999982</v>
      </c>
      <c r="J264" s="173">
        <f t="shared" si="18"/>
        <v>11686.989999999998</v>
      </c>
    </row>
    <row r="265" spans="1:10" x14ac:dyDescent="0.25">
      <c r="A265" s="170" t="s">
        <v>661</v>
      </c>
      <c r="B265" s="171" t="s">
        <v>662</v>
      </c>
      <c r="C265" s="170" t="s">
        <v>1154</v>
      </c>
      <c r="D265" s="171" t="s">
        <v>1165</v>
      </c>
      <c r="E265" s="172" t="s">
        <v>452</v>
      </c>
      <c r="F265" s="170">
        <v>10</v>
      </c>
      <c r="G265" s="173">
        <v>350</v>
      </c>
      <c r="H265" s="173">
        <f t="shared" si="20"/>
        <v>402.49999999999994</v>
      </c>
      <c r="I265" s="173">
        <f t="shared" si="19"/>
        <v>4024.9999999999995</v>
      </c>
      <c r="J265" s="173">
        <f t="shared" si="18"/>
        <v>4789.7499999999991</v>
      </c>
    </row>
    <row r="266" spans="1:10" x14ac:dyDescent="0.25">
      <c r="A266" s="170" t="s">
        <v>661</v>
      </c>
      <c r="B266" s="171" t="s">
        <v>662</v>
      </c>
      <c r="C266" s="170" t="s">
        <v>1162</v>
      </c>
      <c r="D266" s="171" t="s">
        <v>674</v>
      </c>
      <c r="E266" s="172" t="s">
        <v>452</v>
      </c>
      <c r="F266" s="170">
        <v>30</v>
      </c>
      <c r="G266" s="173">
        <v>105</v>
      </c>
      <c r="H266" s="173">
        <f t="shared" si="20"/>
        <v>120.74999999999999</v>
      </c>
      <c r="I266" s="173">
        <f t="shared" si="19"/>
        <v>3622.4999999999995</v>
      </c>
      <c r="J266" s="173">
        <f t="shared" si="18"/>
        <v>4310.7749999999996</v>
      </c>
    </row>
    <row r="267" spans="1:10" x14ac:dyDescent="0.25">
      <c r="A267" s="170" t="s">
        <v>661</v>
      </c>
      <c r="B267" s="171" t="s">
        <v>662</v>
      </c>
      <c r="C267" s="170" t="s">
        <v>1166</v>
      </c>
      <c r="D267" s="171" t="s">
        <v>1167</v>
      </c>
      <c r="E267" s="172" t="s">
        <v>452</v>
      </c>
      <c r="F267" s="170">
        <v>120</v>
      </c>
      <c r="G267" s="173">
        <v>3.4</v>
      </c>
      <c r="H267" s="173">
        <f t="shared" si="20"/>
        <v>3.9099999999999997</v>
      </c>
      <c r="I267" s="173">
        <f t="shared" si="19"/>
        <v>469.2</v>
      </c>
      <c r="J267" s="173">
        <f t="shared" si="18"/>
        <v>558.34799999999996</v>
      </c>
    </row>
    <row r="268" spans="1:10" x14ac:dyDescent="0.25">
      <c r="A268" s="170" t="s">
        <v>661</v>
      </c>
      <c r="B268" s="171" t="s">
        <v>662</v>
      </c>
      <c r="C268" s="170" t="s">
        <v>1166</v>
      </c>
      <c r="D268" s="171" t="s">
        <v>1167</v>
      </c>
      <c r="E268" s="172" t="s">
        <v>452</v>
      </c>
      <c r="F268" s="170">
        <v>1560</v>
      </c>
      <c r="G268" s="173">
        <v>3.7</v>
      </c>
      <c r="H268" s="173">
        <f t="shared" si="20"/>
        <v>4.2549999999999999</v>
      </c>
      <c r="I268" s="173">
        <f t="shared" si="19"/>
        <v>6637.8</v>
      </c>
      <c r="J268" s="173">
        <f t="shared" si="18"/>
        <v>7898.982</v>
      </c>
    </row>
    <row r="269" spans="1:10" x14ac:dyDescent="0.25">
      <c r="A269" s="170" t="s">
        <v>661</v>
      </c>
      <c r="B269" s="171" t="s">
        <v>662</v>
      </c>
      <c r="C269" s="170" t="s">
        <v>1168</v>
      </c>
      <c r="D269" s="171" t="s">
        <v>701</v>
      </c>
      <c r="E269" s="172" t="s">
        <v>452</v>
      </c>
      <c r="F269" s="170">
        <v>4</v>
      </c>
      <c r="G269" s="173">
        <v>1812.48</v>
      </c>
      <c r="H269" s="173">
        <f t="shared" si="20"/>
        <v>2084.3519999999999</v>
      </c>
      <c r="I269" s="173">
        <f t="shared" si="19"/>
        <v>8337.4079999999994</v>
      </c>
      <c r="J269" s="173">
        <f t="shared" si="18"/>
        <v>9921.515519999999</v>
      </c>
    </row>
    <row r="270" spans="1:10" x14ac:dyDescent="0.25">
      <c r="A270" s="170" t="s">
        <v>661</v>
      </c>
      <c r="B270" s="171" t="s">
        <v>662</v>
      </c>
      <c r="C270" s="170" t="s">
        <v>1168</v>
      </c>
      <c r="D270" s="171" t="s">
        <v>702</v>
      </c>
      <c r="E270" s="172" t="s">
        <v>452</v>
      </c>
      <c r="F270" s="170">
        <v>4</v>
      </c>
      <c r="G270" s="173">
        <v>1063.26</v>
      </c>
      <c r="H270" s="173">
        <f t="shared" si="20"/>
        <v>1222.7489999999998</v>
      </c>
      <c r="I270" s="173">
        <f t="shared" si="19"/>
        <v>4890.9959999999992</v>
      </c>
      <c r="J270" s="173">
        <f t="shared" si="18"/>
        <v>5820.2852399999983</v>
      </c>
    </row>
    <row r="271" spans="1:10" x14ac:dyDescent="0.25">
      <c r="A271" s="170" t="s">
        <v>661</v>
      </c>
      <c r="B271" s="171" t="s">
        <v>662</v>
      </c>
      <c r="C271" s="170" t="s">
        <v>1169</v>
      </c>
      <c r="D271" s="171" t="s">
        <v>1170</v>
      </c>
      <c r="E271" s="172" t="s">
        <v>452</v>
      </c>
      <c r="F271" s="170">
        <v>23</v>
      </c>
      <c r="G271" s="173">
        <v>590.09</v>
      </c>
      <c r="H271" s="173">
        <f t="shared" si="20"/>
        <v>678.60349999999994</v>
      </c>
      <c r="I271" s="173">
        <f t="shared" si="19"/>
        <v>15607.880499999999</v>
      </c>
      <c r="J271" s="173">
        <f t="shared" si="18"/>
        <v>18573.377794999997</v>
      </c>
    </row>
    <row r="272" spans="1:10" x14ac:dyDescent="0.25">
      <c r="A272" s="170" t="s">
        <v>661</v>
      </c>
      <c r="B272" s="171" t="s">
        <v>662</v>
      </c>
      <c r="C272" s="170" t="s">
        <v>1169</v>
      </c>
      <c r="D272" s="171" t="s">
        <v>1171</v>
      </c>
      <c r="E272" s="172" t="s">
        <v>452</v>
      </c>
      <c r="F272" s="170">
        <v>50</v>
      </c>
      <c r="G272" s="173">
        <v>590.09</v>
      </c>
      <c r="H272" s="173">
        <f t="shared" si="20"/>
        <v>678.60349999999994</v>
      </c>
      <c r="I272" s="173">
        <f t="shared" si="19"/>
        <v>33930.174999999996</v>
      </c>
      <c r="J272" s="173">
        <f t="shared" si="18"/>
        <v>40376.908249999993</v>
      </c>
    </row>
    <row r="273" spans="1:10" x14ac:dyDescent="0.25">
      <c r="A273" s="170" t="s">
        <v>661</v>
      </c>
      <c r="B273" s="171" t="s">
        <v>662</v>
      </c>
      <c r="C273" s="170" t="s">
        <v>1169</v>
      </c>
      <c r="D273" s="171" t="s">
        <v>1172</v>
      </c>
      <c r="E273" s="172" t="s">
        <v>452</v>
      </c>
      <c r="F273" s="170">
        <v>5</v>
      </c>
      <c r="G273" s="173">
        <v>590.09</v>
      </c>
      <c r="H273" s="173">
        <f t="shared" si="20"/>
        <v>678.60349999999994</v>
      </c>
      <c r="I273" s="173">
        <f t="shared" si="19"/>
        <v>3393.0174999999999</v>
      </c>
      <c r="J273" s="173">
        <f t="shared" si="18"/>
        <v>4037.6908249999997</v>
      </c>
    </row>
    <row r="274" spans="1:10" x14ac:dyDescent="0.25">
      <c r="A274" s="170" t="s">
        <v>661</v>
      </c>
      <c r="B274" s="171" t="s">
        <v>662</v>
      </c>
      <c r="C274" s="170" t="s">
        <v>1169</v>
      </c>
      <c r="D274" s="171" t="s">
        <v>1172</v>
      </c>
      <c r="E274" s="172" t="s">
        <v>452</v>
      </c>
      <c r="F274" s="170">
        <v>55</v>
      </c>
      <c r="G274" s="173">
        <v>590.09</v>
      </c>
      <c r="H274" s="173">
        <f t="shared" si="20"/>
        <v>678.60349999999994</v>
      </c>
      <c r="I274" s="173">
        <f t="shared" si="19"/>
        <v>37323.192499999997</v>
      </c>
      <c r="J274" s="173">
        <f t="shared" si="18"/>
        <v>44414.599074999998</v>
      </c>
    </row>
    <row r="275" spans="1:10" x14ac:dyDescent="0.25">
      <c r="A275" s="170" t="s">
        <v>661</v>
      </c>
      <c r="B275" s="171" t="s">
        <v>662</v>
      </c>
      <c r="C275" s="170" t="s">
        <v>1169</v>
      </c>
      <c r="D275" s="171" t="s">
        <v>1173</v>
      </c>
      <c r="E275" s="172" t="s">
        <v>452</v>
      </c>
      <c r="F275" s="170">
        <v>10</v>
      </c>
      <c r="G275" s="173">
        <v>665.5</v>
      </c>
      <c r="H275" s="173">
        <f t="shared" si="20"/>
        <v>765.32499999999993</v>
      </c>
      <c r="I275" s="173">
        <f t="shared" si="19"/>
        <v>7653.2499999999991</v>
      </c>
      <c r="J275" s="173">
        <f t="shared" si="18"/>
        <v>9107.3674999999985</v>
      </c>
    </row>
    <row r="276" spans="1:10" x14ac:dyDescent="0.25">
      <c r="A276" s="170" t="s">
        <v>661</v>
      </c>
      <c r="B276" s="171" t="s">
        <v>662</v>
      </c>
      <c r="C276" s="170" t="s">
        <v>1169</v>
      </c>
      <c r="D276" s="171" t="s">
        <v>1174</v>
      </c>
      <c r="E276" s="172" t="s">
        <v>452</v>
      </c>
      <c r="F276" s="170">
        <v>23</v>
      </c>
      <c r="G276" s="173">
        <v>761.95</v>
      </c>
      <c r="H276" s="173">
        <f t="shared" si="20"/>
        <v>876.24249999999995</v>
      </c>
      <c r="I276" s="173">
        <f t="shared" si="19"/>
        <v>20153.577499999999</v>
      </c>
      <c r="J276" s="173">
        <f t="shared" si="18"/>
        <v>23982.757224999998</v>
      </c>
    </row>
    <row r="277" spans="1:10" x14ac:dyDescent="0.25">
      <c r="A277" s="170" t="s">
        <v>661</v>
      </c>
      <c r="B277" s="171" t="s">
        <v>662</v>
      </c>
      <c r="C277" s="170" t="s">
        <v>1169</v>
      </c>
      <c r="D277" s="171" t="s">
        <v>1175</v>
      </c>
      <c r="E277" s="172" t="s">
        <v>452</v>
      </c>
      <c r="F277" s="170">
        <v>5</v>
      </c>
      <c r="G277" s="173">
        <v>665.5</v>
      </c>
      <c r="H277" s="173">
        <f t="shared" si="20"/>
        <v>765.32499999999993</v>
      </c>
      <c r="I277" s="173">
        <f t="shared" si="19"/>
        <v>3826.6249999999995</v>
      </c>
      <c r="J277" s="173">
        <f t="shared" si="18"/>
        <v>4553.6837499999992</v>
      </c>
    </row>
    <row r="278" spans="1:10" x14ac:dyDescent="0.25">
      <c r="A278" s="170" t="s">
        <v>661</v>
      </c>
      <c r="B278" s="171" t="s">
        <v>662</v>
      </c>
      <c r="C278" s="170" t="s">
        <v>1169</v>
      </c>
      <c r="D278" s="171" t="s">
        <v>1176</v>
      </c>
      <c r="E278" s="172" t="s">
        <v>452</v>
      </c>
      <c r="F278" s="170">
        <v>13</v>
      </c>
      <c r="G278" s="173">
        <v>551.49</v>
      </c>
      <c r="H278" s="173">
        <f t="shared" si="20"/>
        <v>634.21349999999995</v>
      </c>
      <c r="I278" s="173">
        <f t="shared" si="19"/>
        <v>8244.7754999999997</v>
      </c>
      <c r="J278" s="173">
        <f t="shared" ref="J278:J341" si="21">I278*1.19</f>
        <v>9811.2828449999997</v>
      </c>
    </row>
    <row r="279" spans="1:10" x14ac:dyDescent="0.25">
      <c r="A279" s="170" t="s">
        <v>661</v>
      </c>
      <c r="B279" s="171" t="s">
        <v>662</v>
      </c>
      <c r="C279" s="170" t="s">
        <v>1169</v>
      </c>
      <c r="D279" s="171" t="s">
        <v>1177</v>
      </c>
      <c r="E279" s="172" t="s">
        <v>452</v>
      </c>
      <c r="F279" s="170">
        <v>10</v>
      </c>
      <c r="G279" s="173">
        <v>665.5</v>
      </c>
      <c r="H279" s="173">
        <f t="shared" si="20"/>
        <v>765.32499999999993</v>
      </c>
      <c r="I279" s="173">
        <f t="shared" ref="I279:I342" si="22">H279*F279</f>
        <v>7653.2499999999991</v>
      </c>
      <c r="J279" s="173">
        <f t="shared" si="21"/>
        <v>9107.3674999999985</v>
      </c>
    </row>
    <row r="280" spans="1:10" x14ac:dyDescent="0.25">
      <c r="A280" s="170" t="s">
        <v>661</v>
      </c>
      <c r="B280" s="171" t="s">
        <v>662</v>
      </c>
      <c r="C280" s="170" t="s">
        <v>1169</v>
      </c>
      <c r="D280" s="171" t="s">
        <v>1178</v>
      </c>
      <c r="E280" s="172" t="s">
        <v>452</v>
      </c>
      <c r="F280" s="170">
        <v>15</v>
      </c>
      <c r="G280" s="173">
        <v>590.09</v>
      </c>
      <c r="H280" s="173">
        <f t="shared" si="20"/>
        <v>678.60349999999994</v>
      </c>
      <c r="I280" s="173">
        <f t="shared" si="22"/>
        <v>10179.0525</v>
      </c>
      <c r="J280" s="173">
        <f t="shared" si="21"/>
        <v>12113.072474999999</v>
      </c>
    </row>
    <row r="281" spans="1:10" x14ac:dyDescent="0.25">
      <c r="A281" s="170" t="s">
        <v>661</v>
      </c>
      <c r="B281" s="171" t="s">
        <v>662</v>
      </c>
      <c r="C281" s="170" t="s">
        <v>1179</v>
      </c>
      <c r="D281" s="171" t="s">
        <v>1180</v>
      </c>
      <c r="E281" s="172" t="s">
        <v>688</v>
      </c>
      <c r="F281" s="170">
        <v>280</v>
      </c>
      <c r="G281" s="173">
        <v>8.5</v>
      </c>
      <c r="H281" s="173">
        <f t="shared" si="20"/>
        <v>9.7749999999999986</v>
      </c>
      <c r="I281" s="173">
        <f t="shared" si="22"/>
        <v>2736.9999999999995</v>
      </c>
      <c r="J281" s="173">
        <f t="shared" si="21"/>
        <v>3257.0299999999993</v>
      </c>
    </row>
    <row r="282" spans="1:10" x14ac:dyDescent="0.25">
      <c r="A282" s="170" t="s">
        <v>661</v>
      </c>
      <c r="B282" s="171" t="s">
        <v>662</v>
      </c>
      <c r="C282" s="170" t="s">
        <v>1181</v>
      </c>
      <c r="D282" s="171" t="s">
        <v>1182</v>
      </c>
      <c r="E282" s="172" t="s">
        <v>452</v>
      </c>
      <c r="F282" s="170">
        <v>8</v>
      </c>
      <c r="G282" s="173">
        <v>208.59</v>
      </c>
      <c r="H282" s="173">
        <f t="shared" si="20"/>
        <v>239.87849999999997</v>
      </c>
      <c r="I282" s="173">
        <f t="shared" si="22"/>
        <v>1919.0279999999998</v>
      </c>
      <c r="J282" s="173">
        <f t="shared" si="21"/>
        <v>2283.6433199999997</v>
      </c>
    </row>
    <row r="283" spans="1:10" x14ac:dyDescent="0.25">
      <c r="A283" s="170" t="s">
        <v>661</v>
      </c>
      <c r="B283" s="171" t="s">
        <v>662</v>
      </c>
      <c r="C283" s="170" t="s">
        <v>1183</v>
      </c>
      <c r="D283" s="171" t="s">
        <v>698</v>
      </c>
      <c r="E283" s="172" t="s">
        <v>452</v>
      </c>
      <c r="F283" s="170">
        <v>40</v>
      </c>
      <c r="G283" s="173">
        <v>2.2999999999999998</v>
      </c>
      <c r="H283" s="173">
        <f t="shared" si="20"/>
        <v>2.6449999999999996</v>
      </c>
      <c r="I283" s="173">
        <f t="shared" si="22"/>
        <v>105.79999999999998</v>
      </c>
      <c r="J283" s="173">
        <f t="shared" si="21"/>
        <v>125.90199999999997</v>
      </c>
    </row>
    <row r="284" spans="1:10" x14ac:dyDescent="0.25">
      <c r="A284" s="170" t="s">
        <v>661</v>
      </c>
      <c r="B284" s="171" t="s">
        <v>662</v>
      </c>
      <c r="C284" s="174" t="s">
        <v>1043</v>
      </c>
      <c r="D284" s="171" t="s">
        <v>1184</v>
      </c>
      <c r="E284" s="172" t="s">
        <v>452</v>
      </c>
      <c r="F284" s="170">
        <v>6</v>
      </c>
      <c r="G284" s="173">
        <v>208.59</v>
      </c>
      <c r="H284" s="173">
        <f t="shared" si="20"/>
        <v>239.87849999999997</v>
      </c>
      <c r="I284" s="173">
        <f t="shared" si="22"/>
        <v>1439.2709999999997</v>
      </c>
      <c r="J284" s="173">
        <f t="shared" si="21"/>
        <v>1712.7324899999996</v>
      </c>
    </row>
    <row r="285" spans="1:10" x14ac:dyDescent="0.25">
      <c r="A285" s="170" t="s">
        <v>661</v>
      </c>
      <c r="B285" s="171" t="s">
        <v>662</v>
      </c>
      <c r="C285" s="170" t="s">
        <v>1185</v>
      </c>
      <c r="D285" s="171" t="s">
        <v>695</v>
      </c>
      <c r="E285" s="172" t="s">
        <v>519</v>
      </c>
      <c r="F285" s="170">
        <v>20</v>
      </c>
      <c r="G285" s="173">
        <v>55</v>
      </c>
      <c r="H285" s="173">
        <f t="shared" si="20"/>
        <v>63.249999999999993</v>
      </c>
      <c r="I285" s="173">
        <f t="shared" si="22"/>
        <v>1264.9999999999998</v>
      </c>
      <c r="J285" s="173">
        <f t="shared" si="21"/>
        <v>1505.3499999999997</v>
      </c>
    </row>
    <row r="286" spans="1:10" x14ac:dyDescent="0.25">
      <c r="A286" s="170" t="s">
        <v>661</v>
      </c>
      <c r="B286" s="171" t="s">
        <v>662</v>
      </c>
      <c r="C286" s="170" t="s">
        <v>1186</v>
      </c>
      <c r="D286" s="171" t="s">
        <v>1187</v>
      </c>
      <c r="E286" s="172" t="s">
        <v>452</v>
      </c>
      <c r="F286" s="170">
        <v>23000</v>
      </c>
      <c r="G286" s="173">
        <v>0.6</v>
      </c>
      <c r="H286" s="173">
        <f t="shared" si="20"/>
        <v>0.69</v>
      </c>
      <c r="I286" s="173">
        <f t="shared" si="22"/>
        <v>15869.999999999998</v>
      </c>
      <c r="J286" s="173">
        <f t="shared" si="21"/>
        <v>18885.299999999996</v>
      </c>
    </row>
    <row r="287" spans="1:10" x14ac:dyDescent="0.25">
      <c r="A287" s="170" t="s">
        <v>661</v>
      </c>
      <c r="B287" s="171" t="s">
        <v>662</v>
      </c>
      <c r="C287" s="170" t="s">
        <v>1188</v>
      </c>
      <c r="D287" s="171" t="s">
        <v>675</v>
      </c>
      <c r="E287" s="172" t="s">
        <v>553</v>
      </c>
      <c r="F287" s="170">
        <v>1380</v>
      </c>
      <c r="G287" s="173">
        <v>7.5</v>
      </c>
      <c r="H287" s="173">
        <f t="shared" si="20"/>
        <v>8.625</v>
      </c>
      <c r="I287" s="173">
        <f t="shared" si="22"/>
        <v>11902.5</v>
      </c>
      <c r="J287" s="173">
        <f t="shared" si="21"/>
        <v>14163.974999999999</v>
      </c>
    </row>
    <row r="288" spans="1:10" x14ac:dyDescent="0.25">
      <c r="A288" s="170" t="s">
        <v>661</v>
      </c>
      <c r="B288" s="171" t="s">
        <v>662</v>
      </c>
      <c r="C288" s="170" t="s">
        <v>1188</v>
      </c>
      <c r="D288" s="171" t="s">
        <v>676</v>
      </c>
      <c r="E288" s="172" t="s">
        <v>553</v>
      </c>
      <c r="F288" s="170">
        <v>1500</v>
      </c>
      <c r="G288" s="173">
        <v>7.5</v>
      </c>
      <c r="H288" s="173">
        <f t="shared" si="20"/>
        <v>8.625</v>
      </c>
      <c r="I288" s="173">
        <f t="shared" si="22"/>
        <v>12937.5</v>
      </c>
      <c r="J288" s="173">
        <f t="shared" si="21"/>
        <v>15395.625</v>
      </c>
    </row>
    <row r="289" spans="1:10" x14ac:dyDescent="0.25">
      <c r="A289" s="170" t="s">
        <v>661</v>
      </c>
      <c r="B289" s="171" t="s">
        <v>662</v>
      </c>
      <c r="C289" s="170" t="s">
        <v>1188</v>
      </c>
      <c r="D289" s="171" t="s">
        <v>691</v>
      </c>
      <c r="E289" s="172" t="s">
        <v>452</v>
      </c>
      <c r="F289" s="170">
        <v>336</v>
      </c>
      <c r="G289" s="173">
        <v>12.5</v>
      </c>
      <c r="H289" s="173">
        <f t="shared" si="20"/>
        <v>14.374999999999998</v>
      </c>
      <c r="I289" s="173">
        <f t="shared" si="22"/>
        <v>4829.9999999999991</v>
      </c>
      <c r="J289" s="173">
        <f t="shared" si="21"/>
        <v>5747.6999999999989</v>
      </c>
    </row>
    <row r="290" spans="1:10" x14ac:dyDescent="0.25">
      <c r="A290" s="170" t="s">
        <v>661</v>
      </c>
      <c r="B290" s="171" t="s">
        <v>662</v>
      </c>
      <c r="C290" s="170" t="s">
        <v>1188</v>
      </c>
      <c r="D290" s="171" t="s">
        <v>692</v>
      </c>
      <c r="E290" s="172" t="s">
        <v>452</v>
      </c>
      <c r="F290" s="170">
        <v>336</v>
      </c>
      <c r="G290" s="173">
        <v>10.75</v>
      </c>
      <c r="H290" s="173">
        <f t="shared" si="20"/>
        <v>12.362499999999999</v>
      </c>
      <c r="I290" s="173">
        <f t="shared" si="22"/>
        <v>4153.7999999999993</v>
      </c>
      <c r="J290" s="173">
        <f t="shared" si="21"/>
        <v>4943.021999999999</v>
      </c>
    </row>
    <row r="291" spans="1:10" x14ac:dyDescent="0.25">
      <c r="A291" s="170" t="s">
        <v>661</v>
      </c>
      <c r="B291" s="171" t="s">
        <v>662</v>
      </c>
      <c r="C291" s="170" t="s">
        <v>1188</v>
      </c>
      <c r="D291" s="171" t="s">
        <v>693</v>
      </c>
      <c r="E291" s="172" t="s">
        <v>452</v>
      </c>
      <c r="F291" s="170">
        <v>336</v>
      </c>
      <c r="G291" s="173">
        <v>11.25</v>
      </c>
      <c r="H291" s="173">
        <f t="shared" si="20"/>
        <v>12.937499999999998</v>
      </c>
      <c r="I291" s="173">
        <f t="shared" si="22"/>
        <v>4346.9999999999991</v>
      </c>
      <c r="J291" s="173">
        <f t="shared" si="21"/>
        <v>5172.9299999999985</v>
      </c>
    </row>
    <row r="292" spans="1:10" x14ac:dyDescent="0.25">
      <c r="A292" s="170" t="s">
        <v>661</v>
      </c>
      <c r="B292" s="171" t="s">
        <v>662</v>
      </c>
      <c r="C292" s="170" t="s">
        <v>1188</v>
      </c>
      <c r="D292" s="171" t="s">
        <v>677</v>
      </c>
      <c r="E292" s="172" t="s">
        <v>452</v>
      </c>
      <c r="F292" s="170">
        <v>298</v>
      </c>
      <c r="G292" s="173">
        <v>59</v>
      </c>
      <c r="H292" s="173">
        <f t="shared" si="20"/>
        <v>67.849999999999994</v>
      </c>
      <c r="I292" s="173">
        <f t="shared" si="22"/>
        <v>20219.3</v>
      </c>
      <c r="J292" s="173">
        <f t="shared" si="21"/>
        <v>24060.966999999997</v>
      </c>
    </row>
    <row r="293" spans="1:10" ht="30" x14ac:dyDescent="0.25">
      <c r="A293" s="170" t="s">
        <v>661</v>
      </c>
      <c r="B293" s="171" t="s">
        <v>662</v>
      </c>
      <c r="C293" s="170" t="s">
        <v>1162</v>
      </c>
      <c r="D293" s="171" t="s">
        <v>1189</v>
      </c>
      <c r="E293" s="172" t="s">
        <v>452</v>
      </c>
      <c r="F293" s="170">
        <v>80</v>
      </c>
      <c r="G293" s="173">
        <v>65</v>
      </c>
      <c r="H293" s="173">
        <f t="shared" si="20"/>
        <v>74.75</v>
      </c>
      <c r="I293" s="173">
        <f t="shared" si="22"/>
        <v>5980</v>
      </c>
      <c r="J293" s="173">
        <f t="shared" si="21"/>
        <v>7116.2</v>
      </c>
    </row>
    <row r="294" spans="1:10" x14ac:dyDescent="0.25">
      <c r="A294" s="170" t="s">
        <v>661</v>
      </c>
      <c r="B294" s="171" t="s">
        <v>662</v>
      </c>
      <c r="C294" s="170" t="s">
        <v>1190</v>
      </c>
      <c r="D294" s="171" t="s">
        <v>1191</v>
      </c>
      <c r="E294" s="172" t="s">
        <v>452</v>
      </c>
      <c r="F294" s="170">
        <v>20</v>
      </c>
      <c r="G294" s="173">
        <v>310</v>
      </c>
      <c r="H294" s="173">
        <f t="shared" si="20"/>
        <v>356.5</v>
      </c>
      <c r="I294" s="173">
        <f t="shared" si="22"/>
        <v>7130</v>
      </c>
      <c r="J294" s="173">
        <f t="shared" si="21"/>
        <v>8484.6999999999989</v>
      </c>
    </row>
    <row r="295" spans="1:10" x14ac:dyDescent="0.25">
      <c r="A295" s="170" t="s">
        <v>661</v>
      </c>
      <c r="B295" s="171" t="s">
        <v>662</v>
      </c>
      <c r="C295" s="170" t="s">
        <v>1141</v>
      </c>
      <c r="D295" s="171" t="s">
        <v>1192</v>
      </c>
      <c r="E295" s="172" t="s">
        <v>452</v>
      </c>
      <c r="F295" s="170">
        <v>22100</v>
      </c>
      <c r="G295" s="173">
        <v>5</v>
      </c>
      <c r="H295" s="173">
        <f t="shared" si="20"/>
        <v>5.75</v>
      </c>
      <c r="I295" s="173">
        <f t="shared" si="22"/>
        <v>127075</v>
      </c>
      <c r="J295" s="173">
        <f t="shared" si="21"/>
        <v>151219.25</v>
      </c>
    </row>
    <row r="296" spans="1:10" x14ac:dyDescent="0.25">
      <c r="A296" s="170" t="s">
        <v>661</v>
      </c>
      <c r="B296" s="171" t="s">
        <v>662</v>
      </c>
      <c r="C296" s="170" t="s">
        <v>1193</v>
      </c>
      <c r="D296" s="171" t="s">
        <v>1194</v>
      </c>
      <c r="E296" s="172" t="s">
        <v>452</v>
      </c>
      <c r="F296" s="170">
        <v>350</v>
      </c>
      <c r="G296" s="173">
        <v>105</v>
      </c>
      <c r="H296" s="173">
        <f t="shared" si="20"/>
        <v>120.74999999999999</v>
      </c>
      <c r="I296" s="173">
        <f t="shared" si="22"/>
        <v>42262.499999999993</v>
      </c>
      <c r="J296" s="173">
        <f t="shared" si="21"/>
        <v>50292.374999999993</v>
      </c>
    </row>
    <row r="297" spans="1:10" x14ac:dyDescent="0.25">
      <c r="A297" s="170" t="s">
        <v>661</v>
      </c>
      <c r="B297" s="171" t="s">
        <v>662</v>
      </c>
      <c r="C297" s="170" t="s">
        <v>1193</v>
      </c>
      <c r="D297" s="171" t="s">
        <v>1195</v>
      </c>
      <c r="E297" s="172" t="s">
        <v>452</v>
      </c>
      <c r="F297" s="170">
        <v>450</v>
      </c>
      <c r="G297" s="173">
        <v>37</v>
      </c>
      <c r="H297" s="173">
        <f t="shared" si="20"/>
        <v>42.55</v>
      </c>
      <c r="I297" s="173">
        <f t="shared" si="22"/>
        <v>19147.5</v>
      </c>
      <c r="J297" s="173">
        <f t="shared" si="21"/>
        <v>22785.524999999998</v>
      </c>
    </row>
    <row r="298" spans="1:10" x14ac:dyDescent="0.25">
      <c r="A298" s="170" t="s">
        <v>661</v>
      </c>
      <c r="B298" s="171" t="s">
        <v>662</v>
      </c>
      <c r="C298" s="170" t="s">
        <v>1196</v>
      </c>
      <c r="D298" s="171" t="s">
        <v>704</v>
      </c>
      <c r="E298" s="172" t="s">
        <v>452</v>
      </c>
      <c r="F298" s="170">
        <v>5</v>
      </c>
      <c r="G298" s="173">
        <v>1100</v>
      </c>
      <c r="H298" s="173">
        <f t="shared" si="20"/>
        <v>1265</v>
      </c>
      <c r="I298" s="173">
        <f t="shared" si="22"/>
        <v>6325</v>
      </c>
      <c r="J298" s="173">
        <f t="shared" si="21"/>
        <v>7526.75</v>
      </c>
    </row>
    <row r="299" spans="1:10" ht="30" x14ac:dyDescent="0.25">
      <c r="A299" s="170" t="s">
        <v>661</v>
      </c>
      <c r="B299" s="171" t="s">
        <v>662</v>
      </c>
      <c r="C299" s="170" t="s">
        <v>1197</v>
      </c>
      <c r="D299" s="171" t="s">
        <v>1198</v>
      </c>
      <c r="E299" s="172" t="s">
        <v>739</v>
      </c>
      <c r="F299" s="170">
        <v>20</v>
      </c>
      <c r="G299" s="173">
        <v>210</v>
      </c>
      <c r="H299" s="173">
        <f t="shared" si="20"/>
        <v>241.49999999999997</v>
      </c>
      <c r="I299" s="173">
        <f t="shared" si="22"/>
        <v>4829.9999999999991</v>
      </c>
      <c r="J299" s="173">
        <f t="shared" si="21"/>
        <v>5747.6999999999989</v>
      </c>
    </row>
    <row r="300" spans="1:10" x14ac:dyDescent="0.25">
      <c r="A300" s="170" t="s">
        <v>661</v>
      </c>
      <c r="B300" s="171" t="s">
        <v>662</v>
      </c>
      <c r="C300" s="170" t="s">
        <v>1199</v>
      </c>
      <c r="D300" s="171" t="s">
        <v>1200</v>
      </c>
      <c r="E300" s="172" t="s">
        <v>452</v>
      </c>
      <c r="F300" s="170">
        <v>100</v>
      </c>
      <c r="G300" s="173">
        <v>12</v>
      </c>
      <c r="H300" s="173">
        <f t="shared" si="20"/>
        <v>13.799999999999999</v>
      </c>
      <c r="I300" s="173">
        <f t="shared" si="22"/>
        <v>1380</v>
      </c>
      <c r="J300" s="173">
        <f t="shared" si="21"/>
        <v>1642.1999999999998</v>
      </c>
    </row>
    <row r="301" spans="1:10" x14ac:dyDescent="0.25">
      <c r="A301" s="170" t="s">
        <v>661</v>
      </c>
      <c r="B301" s="171" t="s">
        <v>662</v>
      </c>
      <c r="C301" s="170" t="s">
        <v>1201</v>
      </c>
      <c r="D301" s="171" t="s">
        <v>1202</v>
      </c>
      <c r="E301" s="172" t="s">
        <v>452</v>
      </c>
      <c r="F301" s="170">
        <v>35</v>
      </c>
      <c r="G301" s="173">
        <v>28</v>
      </c>
      <c r="H301" s="173">
        <f t="shared" si="20"/>
        <v>32.199999999999996</v>
      </c>
      <c r="I301" s="173">
        <f t="shared" si="22"/>
        <v>1126.9999999999998</v>
      </c>
      <c r="J301" s="173">
        <f t="shared" si="21"/>
        <v>1341.1299999999997</v>
      </c>
    </row>
    <row r="302" spans="1:10" x14ac:dyDescent="0.25">
      <c r="A302" s="170" t="s">
        <v>661</v>
      </c>
      <c r="B302" s="171" t="s">
        <v>662</v>
      </c>
      <c r="C302" s="170" t="s">
        <v>1203</v>
      </c>
      <c r="D302" s="171" t="s">
        <v>1204</v>
      </c>
      <c r="E302" s="172" t="s">
        <v>452</v>
      </c>
      <c r="F302" s="170">
        <v>13800</v>
      </c>
      <c r="G302" s="173">
        <v>5</v>
      </c>
      <c r="H302" s="173">
        <f t="shared" si="20"/>
        <v>5.75</v>
      </c>
      <c r="I302" s="173">
        <f t="shared" si="22"/>
        <v>79350</v>
      </c>
      <c r="J302" s="173">
        <f t="shared" si="21"/>
        <v>94426.5</v>
      </c>
    </row>
    <row r="303" spans="1:10" ht="30" x14ac:dyDescent="0.25">
      <c r="A303" s="170" t="s">
        <v>661</v>
      </c>
      <c r="B303" s="171" t="s">
        <v>662</v>
      </c>
      <c r="C303" s="170" t="s">
        <v>1203</v>
      </c>
      <c r="D303" s="171" t="s">
        <v>1205</v>
      </c>
      <c r="E303" s="172" t="s">
        <v>452</v>
      </c>
      <c r="F303" s="170">
        <v>1700</v>
      </c>
      <c r="G303" s="173">
        <v>5</v>
      </c>
      <c r="H303" s="173">
        <f t="shared" si="20"/>
        <v>5.75</v>
      </c>
      <c r="I303" s="173">
        <f t="shared" si="22"/>
        <v>9775</v>
      </c>
      <c r="J303" s="173">
        <f t="shared" si="21"/>
        <v>11632.25</v>
      </c>
    </row>
    <row r="304" spans="1:10" ht="30" x14ac:dyDescent="0.25">
      <c r="A304" s="170" t="s">
        <v>661</v>
      </c>
      <c r="B304" s="171" t="s">
        <v>662</v>
      </c>
      <c r="C304" s="170" t="s">
        <v>1203</v>
      </c>
      <c r="D304" s="171" t="s">
        <v>1206</v>
      </c>
      <c r="E304" s="172" t="s">
        <v>452</v>
      </c>
      <c r="F304" s="170">
        <v>100</v>
      </c>
      <c r="G304" s="173">
        <v>5</v>
      </c>
      <c r="H304" s="173">
        <f t="shared" si="20"/>
        <v>5.75</v>
      </c>
      <c r="I304" s="173">
        <f t="shared" si="22"/>
        <v>575</v>
      </c>
      <c r="J304" s="173">
        <f t="shared" si="21"/>
        <v>684.25</v>
      </c>
    </row>
    <row r="305" spans="1:10" x14ac:dyDescent="0.25">
      <c r="A305" s="170" t="s">
        <v>661</v>
      </c>
      <c r="B305" s="171" t="s">
        <v>662</v>
      </c>
      <c r="C305" s="170" t="s">
        <v>1207</v>
      </c>
      <c r="D305" s="171" t="s">
        <v>1208</v>
      </c>
      <c r="E305" s="172" t="s">
        <v>452</v>
      </c>
      <c r="F305" s="170">
        <v>656000</v>
      </c>
      <c r="G305" s="173">
        <v>0.25</v>
      </c>
      <c r="H305" s="173">
        <f t="shared" si="20"/>
        <v>0.28749999999999998</v>
      </c>
      <c r="I305" s="173">
        <f t="shared" si="22"/>
        <v>188599.99999999997</v>
      </c>
      <c r="J305" s="173">
        <f t="shared" si="21"/>
        <v>224433.99999999994</v>
      </c>
    </row>
    <row r="306" spans="1:10" x14ac:dyDescent="0.25">
      <c r="A306" s="170" t="s">
        <v>661</v>
      </c>
      <c r="B306" s="171" t="s">
        <v>662</v>
      </c>
      <c r="C306" s="170" t="s">
        <v>1209</v>
      </c>
      <c r="D306" s="171" t="s">
        <v>680</v>
      </c>
      <c r="E306" s="172" t="s">
        <v>452</v>
      </c>
      <c r="F306" s="170">
        <v>1100</v>
      </c>
      <c r="G306" s="173">
        <v>2.2400000000000002</v>
      </c>
      <c r="H306" s="173">
        <f t="shared" si="20"/>
        <v>2.5760000000000001</v>
      </c>
      <c r="I306" s="173">
        <f t="shared" si="22"/>
        <v>2833.6</v>
      </c>
      <c r="J306" s="173">
        <f t="shared" si="21"/>
        <v>3371.9839999999999</v>
      </c>
    </row>
    <row r="307" spans="1:10" x14ac:dyDescent="0.25">
      <c r="A307" s="170" t="s">
        <v>661</v>
      </c>
      <c r="B307" s="171" t="s">
        <v>662</v>
      </c>
      <c r="C307" s="170" t="s">
        <v>1043</v>
      </c>
      <c r="D307" s="171" t="s">
        <v>687</v>
      </c>
      <c r="E307" s="172" t="s">
        <v>452</v>
      </c>
      <c r="F307" s="170">
        <v>125</v>
      </c>
      <c r="G307" s="173">
        <v>2.94</v>
      </c>
      <c r="H307" s="173">
        <f t="shared" si="20"/>
        <v>3.3809999999999998</v>
      </c>
      <c r="I307" s="173">
        <f t="shared" si="22"/>
        <v>422.625</v>
      </c>
      <c r="J307" s="173">
        <f t="shared" si="21"/>
        <v>502.92374999999998</v>
      </c>
    </row>
    <row r="308" spans="1:10" ht="30" x14ac:dyDescent="0.25">
      <c r="A308" s="170" t="s">
        <v>661</v>
      </c>
      <c r="B308" s="171" t="s">
        <v>662</v>
      </c>
      <c r="C308" s="170" t="s">
        <v>1141</v>
      </c>
      <c r="D308" s="171" t="s">
        <v>1210</v>
      </c>
      <c r="E308" s="172" t="s">
        <v>452</v>
      </c>
      <c r="F308" s="170">
        <v>34000</v>
      </c>
      <c r="G308" s="173">
        <v>1.5</v>
      </c>
      <c r="H308" s="173">
        <f t="shared" si="20"/>
        <v>1.7249999999999999</v>
      </c>
      <c r="I308" s="173">
        <f t="shared" si="22"/>
        <v>58649.999999999993</v>
      </c>
      <c r="J308" s="173">
        <f t="shared" si="21"/>
        <v>69793.499999999985</v>
      </c>
    </row>
    <row r="309" spans="1:10" x14ac:dyDescent="0.25">
      <c r="A309" s="170" t="s">
        <v>661</v>
      </c>
      <c r="B309" s="171" t="s">
        <v>662</v>
      </c>
      <c r="C309" s="174" t="s">
        <v>1043</v>
      </c>
      <c r="D309" s="171" t="s">
        <v>1211</v>
      </c>
      <c r="E309" s="172" t="s">
        <v>452</v>
      </c>
      <c r="F309" s="170">
        <v>120</v>
      </c>
      <c r="G309" s="173">
        <v>25.9</v>
      </c>
      <c r="H309" s="173">
        <f t="shared" si="20"/>
        <v>29.784999999999997</v>
      </c>
      <c r="I309" s="173">
        <f t="shared" si="22"/>
        <v>3574.2</v>
      </c>
      <c r="J309" s="173">
        <f t="shared" si="21"/>
        <v>4253.2979999999998</v>
      </c>
    </row>
    <row r="310" spans="1:10" x14ac:dyDescent="0.25">
      <c r="A310" s="170" t="s">
        <v>661</v>
      </c>
      <c r="B310" s="171" t="s">
        <v>662</v>
      </c>
      <c r="C310" s="170" t="s">
        <v>1141</v>
      </c>
      <c r="D310" s="171" t="s">
        <v>1212</v>
      </c>
      <c r="E310" s="172" t="s">
        <v>452</v>
      </c>
      <c r="F310" s="170">
        <v>400</v>
      </c>
      <c r="G310" s="173">
        <v>28</v>
      </c>
      <c r="H310" s="173">
        <f t="shared" si="20"/>
        <v>32.199999999999996</v>
      </c>
      <c r="I310" s="173">
        <f t="shared" si="22"/>
        <v>12879.999999999998</v>
      </c>
      <c r="J310" s="173">
        <f t="shared" si="21"/>
        <v>15327.199999999997</v>
      </c>
    </row>
    <row r="311" spans="1:10" x14ac:dyDescent="0.25">
      <c r="A311" s="170" t="s">
        <v>661</v>
      </c>
      <c r="B311" s="171" t="s">
        <v>662</v>
      </c>
      <c r="C311" s="170" t="s">
        <v>1213</v>
      </c>
      <c r="D311" s="171" t="s">
        <v>700</v>
      </c>
      <c r="E311" s="172" t="s">
        <v>452</v>
      </c>
      <c r="F311" s="170">
        <v>4000</v>
      </c>
      <c r="G311" s="173">
        <v>2.5</v>
      </c>
      <c r="H311" s="173">
        <f t="shared" si="20"/>
        <v>2.875</v>
      </c>
      <c r="I311" s="173">
        <f t="shared" si="22"/>
        <v>11500</v>
      </c>
      <c r="J311" s="173">
        <f t="shared" si="21"/>
        <v>13685</v>
      </c>
    </row>
    <row r="312" spans="1:10" x14ac:dyDescent="0.25">
      <c r="A312" s="170" t="s">
        <v>661</v>
      </c>
      <c r="B312" s="171" t="s">
        <v>662</v>
      </c>
      <c r="C312" s="170" t="s">
        <v>1214</v>
      </c>
      <c r="D312" s="171" t="s">
        <v>684</v>
      </c>
      <c r="E312" s="172" t="s">
        <v>452</v>
      </c>
      <c r="F312" s="170">
        <v>300</v>
      </c>
      <c r="G312" s="173">
        <v>4.28</v>
      </c>
      <c r="H312" s="173">
        <f t="shared" si="20"/>
        <v>4.9219999999999997</v>
      </c>
      <c r="I312" s="173">
        <f t="shared" si="22"/>
        <v>1476.6</v>
      </c>
      <c r="J312" s="173">
        <f t="shared" si="21"/>
        <v>1757.1539999999998</v>
      </c>
    </row>
    <row r="313" spans="1:10" x14ac:dyDescent="0.25">
      <c r="A313" s="170" t="s">
        <v>661</v>
      </c>
      <c r="B313" s="171" t="s">
        <v>662</v>
      </c>
      <c r="C313" s="170" t="s">
        <v>1215</v>
      </c>
      <c r="D313" s="171" t="s">
        <v>1216</v>
      </c>
      <c r="E313" s="172" t="s">
        <v>452</v>
      </c>
      <c r="F313" s="170">
        <v>27000</v>
      </c>
      <c r="G313" s="173">
        <v>2.25</v>
      </c>
      <c r="H313" s="173">
        <f t="shared" si="20"/>
        <v>2.5874999999999999</v>
      </c>
      <c r="I313" s="173">
        <f t="shared" si="22"/>
        <v>69862.5</v>
      </c>
      <c r="J313" s="173">
        <f t="shared" si="21"/>
        <v>83136.375</v>
      </c>
    </row>
    <row r="314" spans="1:10" x14ac:dyDescent="0.25">
      <c r="A314" s="170" t="s">
        <v>661</v>
      </c>
      <c r="B314" s="171" t="s">
        <v>662</v>
      </c>
      <c r="C314" s="174" t="s">
        <v>1043</v>
      </c>
      <c r="D314" s="171" t="s">
        <v>1217</v>
      </c>
      <c r="E314" s="172" t="s">
        <v>452</v>
      </c>
      <c r="F314" s="170">
        <v>100</v>
      </c>
      <c r="G314" s="173">
        <v>33</v>
      </c>
      <c r="H314" s="173">
        <f t="shared" si="20"/>
        <v>37.949999999999996</v>
      </c>
      <c r="I314" s="173">
        <f t="shared" si="22"/>
        <v>3794.9999999999995</v>
      </c>
      <c r="J314" s="173">
        <f t="shared" si="21"/>
        <v>4516.0499999999993</v>
      </c>
    </row>
    <row r="315" spans="1:10" x14ac:dyDescent="0.25">
      <c r="A315" s="170" t="s">
        <v>661</v>
      </c>
      <c r="B315" s="171" t="s">
        <v>662</v>
      </c>
      <c r="C315" s="170" t="s">
        <v>1218</v>
      </c>
      <c r="D315" s="171" t="s">
        <v>1219</v>
      </c>
      <c r="E315" s="172" t="s">
        <v>452</v>
      </c>
      <c r="F315" s="170">
        <v>210</v>
      </c>
      <c r="G315" s="173">
        <v>14</v>
      </c>
      <c r="H315" s="173">
        <f t="shared" si="20"/>
        <v>16.099999999999998</v>
      </c>
      <c r="I315" s="173">
        <f t="shared" si="22"/>
        <v>3380.9999999999995</v>
      </c>
      <c r="J315" s="173">
        <f t="shared" si="21"/>
        <v>4023.3899999999994</v>
      </c>
    </row>
    <row r="316" spans="1:10" x14ac:dyDescent="0.25">
      <c r="A316" s="170" t="s">
        <v>661</v>
      </c>
      <c r="B316" s="171" t="s">
        <v>662</v>
      </c>
      <c r="C316" s="170" t="s">
        <v>1043</v>
      </c>
      <c r="D316" s="171" t="s">
        <v>672</v>
      </c>
      <c r="E316" s="172" t="s">
        <v>452</v>
      </c>
      <c r="F316" s="170">
        <v>5000</v>
      </c>
      <c r="G316" s="173">
        <v>1.55</v>
      </c>
      <c r="H316" s="173">
        <f t="shared" si="20"/>
        <v>1.7825</v>
      </c>
      <c r="I316" s="173">
        <f t="shared" si="22"/>
        <v>8912.5</v>
      </c>
      <c r="J316" s="173">
        <f t="shared" si="21"/>
        <v>10605.875</v>
      </c>
    </row>
    <row r="317" spans="1:10" x14ac:dyDescent="0.25">
      <c r="A317" s="170" t="s">
        <v>661</v>
      </c>
      <c r="B317" s="171" t="s">
        <v>662</v>
      </c>
      <c r="C317" s="170" t="s">
        <v>1220</v>
      </c>
      <c r="D317" s="171" t="s">
        <v>1221</v>
      </c>
      <c r="E317" s="172" t="s">
        <v>452</v>
      </c>
      <c r="F317" s="170">
        <v>834</v>
      </c>
      <c r="G317" s="173">
        <v>26</v>
      </c>
      <c r="H317" s="173">
        <f t="shared" si="20"/>
        <v>29.9</v>
      </c>
      <c r="I317" s="173">
        <f t="shared" si="22"/>
        <v>24936.6</v>
      </c>
      <c r="J317" s="173">
        <f t="shared" si="21"/>
        <v>29674.553999999996</v>
      </c>
    </row>
    <row r="318" spans="1:10" x14ac:dyDescent="0.25">
      <c r="A318" s="170" t="s">
        <v>661</v>
      </c>
      <c r="B318" s="171" t="s">
        <v>662</v>
      </c>
      <c r="C318" s="174" t="s">
        <v>1222</v>
      </c>
      <c r="D318" s="171" t="s">
        <v>1223</v>
      </c>
      <c r="E318" s="172" t="s">
        <v>452</v>
      </c>
      <c r="F318" s="170">
        <v>56000</v>
      </c>
      <c r="G318" s="173">
        <v>0.44</v>
      </c>
      <c r="H318" s="173">
        <f t="shared" si="20"/>
        <v>0.50600000000000001</v>
      </c>
      <c r="I318" s="173">
        <f t="shared" si="22"/>
        <v>28336</v>
      </c>
      <c r="J318" s="173">
        <f t="shared" si="21"/>
        <v>33719.839999999997</v>
      </c>
    </row>
    <row r="319" spans="1:10" x14ac:dyDescent="0.25">
      <c r="A319" s="170" t="s">
        <v>661</v>
      </c>
      <c r="B319" s="171" t="s">
        <v>662</v>
      </c>
      <c r="C319" s="170" t="s">
        <v>1222</v>
      </c>
      <c r="D319" s="171" t="s">
        <v>1224</v>
      </c>
      <c r="E319" s="172" t="s">
        <v>452</v>
      </c>
      <c r="F319" s="170">
        <v>1000</v>
      </c>
      <c r="G319" s="173">
        <v>0.31</v>
      </c>
      <c r="H319" s="173">
        <f t="shared" si="20"/>
        <v>0.35649999999999998</v>
      </c>
      <c r="I319" s="173">
        <f t="shared" si="22"/>
        <v>356.5</v>
      </c>
      <c r="J319" s="173">
        <f t="shared" si="21"/>
        <v>424.23499999999996</v>
      </c>
    </row>
    <row r="320" spans="1:10" x14ac:dyDescent="0.25">
      <c r="A320" s="170" t="s">
        <v>661</v>
      </c>
      <c r="B320" s="171" t="s">
        <v>662</v>
      </c>
      <c r="C320" s="170" t="s">
        <v>1222</v>
      </c>
      <c r="D320" s="171" t="s">
        <v>1225</v>
      </c>
      <c r="E320" s="172" t="s">
        <v>452</v>
      </c>
      <c r="F320" s="170">
        <v>48400</v>
      </c>
      <c r="G320" s="173">
        <v>0.62</v>
      </c>
      <c r="H320" s="173">
        <f t="shared" si="20"/>
        <v>0.71299999999999997</v>
      </c>
      <c r="I320" s="173">
        <f t="shared" si="22"/>
        <v>34509.199999999997</v>
      </c>
      <c r="J320" s="173">
        <f t="shared" si="21"/>
        <v>41065.947999999997</v>
      </c>
    </row>
    <row r="321" spans="1:10" ht="30" x14ac:dyDescent="0.25">
      <c r="A321" s="170" t="s">
        <v>661</v>
      </c>
      <c r="B321" s="171" t="s">
        <v>662</v>
      </c>
      <c r="C321" s="170" t="s">
        <v>1222</v>
      </c>
      <c r="D321" s="171" t="s">
        <v>733</v>
      </c>
      <c r="E321" s="172" t="s">
        <v>452</v>
      </c>
      <c r="F321" s="170">
        <v>80</v>
      </c>
      <c r="G321" s="173">
        <v>75</v>
      </c>
      <c r="H321" s="173">
        <f t="shared" si="20"/>
        <v>86.25</v>
      </c>
      <c r="I321" s="173">
        <f t="shared" si="22"/>
        <v>6900</v>
      </c>
      <c r="J321" s="173">
        <f t="shared" si="21"/>
        <v>8211</v>
      </c>
    </row>
    <row r="322" spans="1:10" ht="30" x14ac:dyDescent="0.25">
      <c r="A322" s="170" t="s">
        <v>661</v>
      </c>
      <c r="B322" s="171" t="s">
        <v>662</v>
      </c>
      <c r="C322" s="170" t="s">
        <v>1222</v>
      </c>
      <c r="D322" s="171" t="s">
        <v>689</v>
      </c>
      <c r="E322" s="172" t="s">
        <v>452</v>
      </c>
      <c r="F322" s="170">
        <v>675</v>
      </c>
      <c r="G322" s="173">
        <v>52</v>
      </c>
      <c r="H322" s="173">
        <f t="shared" si="20"/>
        <v>59.8</v>
      </c>
      <c r="I322" s="173">
        <f t="shared" si="22"/>
        <v>40365</v>
      </c>
      <c r="J322" s="173">
        <f t="shared" si="21"/>
        <v>48034.35</v>
      </c>
    </row>
    <row r="323" spans="1:10" x14ac:dyDescent="0.25">
      <c r="A323" s="170" t="s">
        <v>661</v>
      </c>
      <c r="B323" s="171" t="s">
        <v>662</v>
      </c>
      <c r="C323" s="170" t="s">
        <v>1222</v>
      </c>
      <c r="D323" s="171" t="s">
        <v>1226</v>
      </c>
      <c r="E323" s="172" t="s">
        <v>452</v>
      </c>
      <c r="F323" s="170">
        <f>7200+14400</f>
        <v>21600</v>
      </c>
      <c r="G323" s="173">
        <v>0.34</v>
      </c>
      <c r="H323" s="173">
        <f t="shared" ref="H323:H386" si="23">G323*1.15</f>
        <v>0.39100000000000001</v>
      </c>
      <c r="I323" s="173">
        <f t="shared" si="22"/>
        <v>8445.6</v>
      </c>
      <c r="J323" s="173">
        <f t="shared" si="21"/>
        <v>10050.263999999999</v>
      </c>
    </row>
    <row r="324" spans="1:10" x14ac:dyDescent="0.25">
      <c r="A324" s="170" t="s">
        <v>661</v>
      </c>
      <c r="B324" s="171" t="s">
        <v>662</v>
      </c>
      <c r="C324" s="170" t="s">
        <v>1222</v>
      </c>
      <c r="D324" s="171" t="s">
        <v>1227</v>
      </c>
      <c r="E324" s="172" t="s">
        <v>452</v>
      </c>
      <c r="F324" s="170">
        <v>4400</v>
      </c>
      <c r="G324" s="173">
        <v>5.4</v>
      </c>
      <c r="H324" s="173">
        <f t="shared" si="23"/>
        <v>6.21</v>
      </c>
      <c r="I324" s="173">
        <f t="shared" si="22"/>
        <v>27324</v>
      </c>
      <c r="J324" s="173">
        <f t="shared" si="21"/>
        <v>32515.559999999998</v>
      </c>
    </row>
    <row r="325" spans="1:10" x14ac:dyDescent="0.25">
      <c r="A325" s="170" t="s">
        <v>661</v>
      </c>
      <c r="B325" s="171" t="s">
        <v>662</v>
      </c>
      <c r="C325" s="170" t="s">
        <v>1222</v>
      </c>
      <c r="D325" s="171" t="s">
        <v>1228</v>
      </c>
      <c r="E325" s="172" t="s">
        <v>452</v>
      </c>
      <c r="F325" s="170">
        <f>1600+2900</f>
        <v>4500</v>
      </c>
      <c r="G325" s="173">
        <v>0.52</v>
      </c>
      <c r="H325" s="173">
        <f t="shared" si="23"/>
        <v>0.59799999999999998</v>
      </c>
      <c r="I325" s="173">
        <f t="shared" si="22"/>
        <v>2691</v>
      </c>
      <c r="J325" s="173">
        <f t="shared" si="21"/>
        <v>3202.29</v>
      </c>
    </row>
    <row r="326" spans="1:10" x14ac:dyDescent="0.25">
      <c r="A326" s="170" t="s">
        <v>661</v>
      </c>
      <c r="B326" s="171" t="s">
        <v>662</v>
      </c>
      <c r="C326" s="170" t="s">
        <v>1159</v>
      </c>
      <c r="D326" s="171" t="s">
        <v>1229</v>
      </c>
      <c r="E326" s="172" t="s">
        <v>452</v>
      </c>
      <c r="F326" s="170">
        <v>1325</v>
      </c>
      <c r="G326" s="173">
        <v>14</v>
      </c>
      <c r="H326" s="173">
        <f t="shared" si="23"/>
        <v>16.099999999999998</v>
      </c>
      <c r="I326" s="173">
        <f t="shared" si="22"/>
        <v>21332.499999999996</v>
      </c>
      <c r="J326" s="173">
        <f t="shared" si="21"/>
        <v>25385.674999999996</v>
      </c>
    </row>
    <row r="327" spans="1:10" ht="30" x14ac:dyDescent="0.25">
      <c r="A327" s="170" t="s">
        <v>661</v>
      </c>
      <c r="B327" s="171" t="s">
        <v>662</v>
      </c>
      <c r="C327" s="174" t="s">
        <v>1043</v>
      </c>
      <c r="D327" s="171" t="s">
        <v>1230</v>
      </c>
      <c r="E327" s="172" t="s">
        <v>452</v>
      </c>
      <c r="F327" s="170">
        <v>1</v>
      </c>
      <c r="G327" s="173">
        <v>540</v>
      </c>
      <c r="H327" s="173">
        <f t="shared" si="23"/>
        <v>621</v>
      </c>
      <c r="I327" s="173">
        <f t="shared" si="22"/>
        <v>621</v>
      </c>
      <c r="J327" s="173">
        <f t="shared" si="21"/>
        <v>738.99</v>
      </c>
    </row>
    <row r="328" spans="1:10" x14ac:dyDescent="0.25">
      <c r="A328" s="170" t="s">
        <v>661</v>
      </c>
      <c r="B328" s="171" t="s">
        <v>662</v>
      </c>
      <c r="C328" s="170" t="s">
        <v>1179</v>
      </c>
      <c r="D328" s="171" t="s">
        <v>1231</v>
      </c>
      <c r="E328" s="172" t="s">
        <v>533</v>
      </c>
      <c r="F328" s="170">
        <v>380</v>
      </c>
      <c r="G328" s="173">
        <v>10</v>
      </c>
      <c r="H328" s="173">
        <f t="shared" si="23"/>
        <v>11.5</v>
      </c>
      <c r="I328" s="173">
        <f t="shared" si="22"/>
        <v>4370</v>
      </c>
      <c r="J328" s="173">
        <f t="shared" si="21"/>
        <v>5200.3</v>
      </c>
    </row>
    <row r="329" spans="1:10" ht="30" x14ac:dyDescent="0.25">
      <c r="A329" s="170" t="s">
        <v>661</v>
      </c>
      <c r="B329" s="171" t="s">
        <v>662</v>
      </c>
      <c r="C329" s="170" t="s">
        <v>1162</v>
      </c>
      <c r="D329" s="171" t="s">
        <v>1232</v>
      </c>
      <c r="E329" s="172" t="s">
        <v>452</v>
      </c>
      <c r="F329" s="170">
        <v>30</v>
      </c>
      <c r="G329" s="173">
        <v>60</v>
      </c>
      <c r="H329" s="173">
        <f t="shared" si="23"/>
        <v>69</v>
      </c>
      <c r="I329" s="173">
        <f t="shared" si="22"/>
        <v>2070</v>
      </c>
      <c r="J329" s="173">
        <f t="shared" si="21"/>
        <v>2463.2999999999997</v>
      </c>
    </row>
    <row r="330" spans="1:10" x14ac:dyDescent="0.25">
      <c r="A330" s="170" t="s">
        <v>661</v>
      </c>
      <c r="B330" s="171" t="s">
        <v>662</v>
      </c>
      <c r="C330" s="170" t="s">
        <v>1233</v>
      </c>
      <c r="D330" s="171" t="s">
        <v>720</v>
      </c>
      <c r="E330" s="172" t="s">
        <v>452</v>
      </c>
      <c r="F330" s="170">
        <v>8</v>
      </c>
      <c r="G330" s="173">
        <v>750</v>
      </c>
      <c r="H330" s="173">
        <f t="shared" si="23"/>
        <v>862.49999999999989</v>
      </c>
      <c r="I330" s="173">
        <f t="shared" si="22"/>
        <v>6899.9999999999991</v>
      </c>
      <c r="J330" s="173">
        <f t="shared" si="21"/>
        <v>8210.9999999999982</v>
      </c>
    </row>
    <row r="331" spans="1:10" x14ac:dyDescent="0.25">
      <c r="A331" s="170" t="s">
        <v>661</v>
      </c>
      <c r="B331" s="171" t="s">
        <v>662</v>
      </c>
      <c r="C331" s="174" t="s">
        <v>1234</v>
      </c>
      <c r="D331" s="171" t="s">
        <v>1235</v>
      </c>
      <c r="E331" s="172" t="s">
        <v>1112</v>
      </c>
      <c r="F331" s="170">
        <v>30</v>
      </c>
      <c r="G331" s="173">
        <v>126</v>
      </c>
      <c r="H331" s="173">
        <f t="shared" si="23"/>
        <v>144.89999999999998</v>
      </c>
      <c r="I331" s="173">
        <f t="shared" si="22"/>
        <v>4346.9999999999991</v>
      </c>
      <c r="J331" s="173">
        <f t="shared" si="21"/>
        <v>5172.9299999999985</v>
      </c>
    </row>
    <row r="332" spans="1:10" x14ac:dyDescent="0.25">
      <c r="A332" s="170" t="s">
        <v>661</v>
      </c>
      <c r="B332" s="171" t="s">
        <v>662</v>
      </c>
      <c r="C332" s="170" t="s">
        <v>1236</v>
      </c>
      <c r="D332" s="171" t="s">
        <v>665</v>
      </c>
      <c r="E332" s="172" t="s">
        <v>452</v>
      </c>
      <c r="F332" s="170">
        <v>13300</v>
      </c>
      <c r="G332" s="173">
        <v>1.1000000000000001</v>
      </c>
      <c r="H332" s="173">
        <f t="shared" si="23"/>
        <v>1.2649999999999999</v>
      </c>
      <c r="I332" s="173">
        <f t="shared" si="22"/>
        <v>16824.5</v>
      </c>
      <c r="J332" s="173">
        <f t="shared" si="21"/>
        <v>20021.154999999999</v>
      </c>
    </row>
    <row r="333" spans="1:10" x14ac:dyDescent="0.25">
      <c r="A333" s="170" t="s">
        <v>661</v>
      </c>
      <c r="B333" s="171" t="s">
        <v>662</v>
      </c>
      <c r="C333" s="170" t="s">
        <v>1236</v>
      </c>
      <c r="D333" s="171" t="s">
        <v>1237</v>
      </c>
      <c r="E333" s="172" t="s">
        <v>452</v>
      </c>
      <c r="F333" s="170">
        <v>650</v>
      </c>
      <c r="G333" s="173">
        <v>5.08</v>
      </c>
      <c r="H333" s="173">
        <f t="shared" si="23"/>
        <v>5.8419999999999996</v>
      </c>
      <c r="I333" s="173">
        <f t="shared" si="22"/>
        <v>3797.2999999999997</v>
      </c>
      <c r="J333" s="173">
        <f t="shared" si="21"/>
        <v>4518.7869999999994</v>
      </c>
    </row>
    <row r="334" spans="1:10" x14ac:dyDescent="0.25">
      <c r="A334" s="170" t="s">
        <v>661</v>
      </c>
      <c r="B334" s="171" t="s">
        <v>662</v>
      </c>
      <c r="C334" s="170" t="s">
        <v>1236</v>
      </c>
      <c r="D334" s="171" t="s">
        <v>1237</v>
      </c>
      <c r="E334" s="172" t="s">
        <v>452</v>
      </c>
      <c r="F334" s="170">
        <v>10</v>
      </c>
      <c r="G334" s="173">
        <v>23.4</v>
      </c>
      <c r="H334" s="173">
        <f t="shared" si="23"/>
        <v>26.909999999999997</v>
      </c>
      <c r="I334" s="173">
        <f t="shared" si="22"/>
        <v>269.09999999999997</v>
      </c>
      <c r="J334" s="173">
        <f t="shared" si="21"/>
        <v>320.22899999999993</v>
      </c>
    </row>
    <row r="335" spans="1:10" x14ac:dyDescent="0.25">
      <c r="A335" s="170" t="s">
        <v>661</v>
      </c>
      <c r="B335" s="171" t="s">
        <v>662</v>
      </c>
      <c r="C335" s="170" t="s">
        <v>1236</v>
      </c>
      <c r="D335" s="171" t="s">
        <v>1238</v>
      </c>
      <c r="E335" s="172" t="s">
        <v>452</v>
      </c>
      <c r="F335" s="170">
        <v>550</v>
      </c>
      <c r="G335" s="173">
        <v>5.08</v>
      </c>
      <c r="H335" s="173">
        <f t="shared" si="23"/>
        <v>5.8419999999999996</v>
      </c>
      <c r="I335" s="173">
        <f t="shared" si="22"/>
        <v>3213.1</v>
      </c>
      <c r="J335" s="173">
        <f t="shared" si="21"/>
        <v>3823.5889999999999</v>
      </c>
    </row>
    <row r="336" spans="1:10" x14ac:dyDescent="0.25">
      <c r="A336" s="170" t="s">
        <v>661</v>
      </c>
      <c r="B336" s="171" t="s">
        <v>662</v>
      </c>
      <c r="C336" s="170" t="s">
        <v>1236</v>
      </c>
      <c r="D336" s="171" t="s">
        <v>1239</v>
      </c>
      <c r="E336" s="172" t="s">
        <v>452</v>
      </c>
      <c r="F336" s="170">
        <v>300</v>
      </c>
      <c r="G336" s="173">
        <v>5.08</v>
      </c>
      <c r="H336" s="173">
        <f t="shared" si="23"/>
        <v>5.8419999999999996</v>
      </c>
      <c r="I336" s="173">
        <f t="shared" si="22"/>
        <v>1752.6</v>
      </c>
      <c r="J336" s="173">
        <f t="shared" si="21"/>
        <v>2085.5939999999996</v>
      </c>
    </row>
    <row r="337" spans="1:10" x14ac:dyDescent="0.25">
      <c r="A337" s="170" t="s">
        <v>661</v>
      </c>
      <c r="B337" s="171" t="s">
        <v>662</v>
      </c>
      <c r="C337" s="170" t="s">
        <v>1236</v>
      </c>
      <c r="D337" s="171" t="s">
        <v>1239</v>
      </c>
      <c r="E337" s="172" t="s">
        <v>452</v>
      </c>
      <c r="F337" s="170">
        <v>10</v>
      </c>
      <c r="G337" s="173">
        <v>23.4</v>
      </c>
      <c r="H337" s="173">
        <f t="shared" si="23"/>
        <v>26.909999999999997</v>
      </c>
      <c r="I337" s="173">
        <f t="shared" si="22"/>
        <v>269.09999999999997</v>
      </c>
      <c r="J337" s="173">
        <f t="shared" si="21"/>
        <v>320.22899999999993</v>
      </c>
    </row>
    <row r="338" spans="1:10" x14ac:dyDescent="0.25">
      <c r="A338" s="170" t="s">
        <v>661</v>
      </c>
      <c r="B338" s="171" t="s">
        <v>662</v>
      </c>
      <c r="C338" s="170" t="s">
        <v>1236</v>
      </c>
      <c r="D338" s="171" t="s">
        <v>1240</v>
      </c>
      <c r="E338" s="172" t="s">
        <v>452</v>
      </c>
      <c r="F338" s="170">
        <v>50</v>
      </c>
      <c r="G338" s="173">
        <v>5.08</v>
      </c>
      <c r="H338" s="173">
        <f t="shared" si="23"/>
        <v>5.8419999999999996</v>
      </c>
      <c r="I338" s="173">
        <f t="shared" si="22"/>
        <v>292.09999999999997</v>
      </c>
      <c r="J338" s="173">
        <f t="shared" si="21"/>
        <v>347.59899999999993</v>
      </c>
    </row>
    <row r="339" spans="1:10" x14ac:dyDescent="0.25">
      <c r="A339" s="170" t="s">
        <v>661</v>
      </c>
      <c r="B339" s="171" t="s">
        <v>662</v>
      </c>
      <c r="C339" s="170" t="s">
        <v>1236</v>
      </c>
      <c r="D339" s="171" t="s">
        <v>1241</v>
      </c>
      <c r="E339" s="172" t="s">
        <v>452</v>
      </c>
      <c r="F339" s="170">
        <v>1200</v>
      </c>
      <c r="G339" s="173">
        <v>3.98</v>
      </c>
      <c r="H339" s="173">
        <f t="shared" si="23"/>
        <v>4.577</v>
      </c>
      <c r="I339" s="173">
        <f t="shared" si="22"/>
        <v>5492.4</v>
      </c>
      <c r="J339" s="173">
        <f t="shared" si="21"/>
        <v>6535.9559999999992</v>
      </c>
    </row>
    <row r="340" spans="1:10" x14ac:dyDescent="0.25">
      <c r="A340" s="170" t="s">
        <v>661</v>
      </c>
      <c r="B340" s="171" t="s">
        <v>662</v>
      </c>
      <c r="C340" s="170" t="s">
        <v>1236</v>
      </c>
      <c r="D340" s="171" t="s">
        <v>1242</v>
      </c>
      <c r="E340" s="172" t="s">
        <v>452</v>
      </c>
      <c r="F340" s="170">
        <v>1150</v>
      </c>
      <c r="G340" s="173">
        <v>3.98</v>
      </c>
      <c r="H340" s="173">
        <f t="shared" si="23"/>
        <v>4.577</v>
      </c>
      <c r="I340" s="173">
        <f t="shared" si="22"/>
        <v>5263.55</v>
      </c>
      <c r="J340" s="173">
        <f t="shared" si="21"/>
        <v>6263.6244999999999</v>
      </c>
    </row>
    <row r="341" spans="1:10" x14ac:dyDescent="0.25">
      <c r="A341" s="170" t="s">
        <v>661</v>
      </c>
      <c r="B341" s="171" t="s">
        <v>662</v>
      </c>
      <c r="C341" s="170" t="s">
        <v>1236</v>
      </c>
      <c r="D341" s="171" t="s">
        <v>1243</v>
      </c>
      <c r="E341" s="172" t="s">
        <v>452</v>
      </c>
      <c r="F341" s="170">
        <v>400</v>
      </c>
      <c r="G341" s="173">
        <v>3.98</v>
      </c>
      <c r="H341" s="173">
        <f t="shared" si="23"/>
        <v>4.577</v>
      </c>
      <c r="I341" s="173">
        <f t="shared" si="22"/>
        <v>1830.8</v>
      </c>
      <c r="J341" s="173">
        <f t="shared" si="21"/>
        <v>2178.652</v>
      </c>
    </row>
    <row r="342" spans="1:10" x14ac:dyDescent="0.25">
      <c r="A342" s="170" t="s">
        <v>661</v>
      </c>
      <c r="B342" s="171" t="s">
        <v>662</v>
      </c>
      <c r="C342" s="170" t="s">
        <v>1236</v>
      </c>
      <c r="D342" s="171" t="s">
        <v>1244</v>
      </c>
      <c r="E342" s="172" t="s">
        <v>452</v>
      </c>
      <c r="F342" s="170">
        <v>150</v>
      </c>
      <c r="G342" s="173">
        <v>3.98</v>
      </c>
      <c r="H342" s="173">
        <f t="shared" si="23"/>
        <v>4.577</v>
      </c>
      <c r="I342" s="173">
        <f t="shared" si="22"/>
        <v>686.55</v>
      </c>
      <c r="J342" s="173">
        <f t="shared" ref="J342:J405" si="24">I342*1.19</f>
        <v>816.9944999999999</v>
      </c>
    </row>
    <row r="343" spans="1:10" x14ac:dyDescent="0.25">
      <c r="A343" s="170" t="s">
        <v>661</v>
      </c>
      <c r="B343" s="171" t="s">
        <v>662</v>
      </c>
      <c r="C343" s="170" t="s">
        <v>1236</v>
      </c>
      <c r="D343" s="171" t="s">
        <v>1245</v>
      </c>
      <c r="E343" s="172" t="s">
        <v>452</v>
      </c>
      <c r="F343" s="170">
        <v>1600</v>
      </c>
      <c r="G343" s="173">
        <v>1.2</v>
      </c>
      <c r="H343" s="173">
        <f t="shared" si="23"/>
        <v>1.38</v>
      </c>
      <c r="I343" s="173">
        <f t="shared" ref="I343:I406" si="25">H343*F343</f>
        <v>2208</v>
      </c>
      <c r="J343" s="173">
        <f t="shared" si="24"/>
        <v>2627.52</v>
      </c>
    </row>
    <row r="344" spans="1:10" x14ac:dyDescent="0.25">
      <c r="A344" s="170" t="s">
        <v>661</v>
      </c>
      <c r="B344" s="171" t="s">
        <v>662</v>
      </c>
      <c r="C344" s="170" t="s">
        <v>1236</v>
      </c>
      <c r="D344" s="171" t="s">
        <v>1246</v>
      </c>
      <c r="E344" s="172" t="s">
        <v>452</v>
      </c>
      <c r="F344" s="170">
        <v>200</v>
      </c>
      <c r="G344" s="173">
        <v>1.2</v>
      </c>
      <c r="H344" s="173">
        <f t="shared" si="23"/>
        <v>1.38</v>
      </c>
      <c r="I344" s="173">
        <f t="shared" si="25"/>
        <v>276</v>
      </c>
      <c r="J344" s="173">
        <f t="shared" si="24"/>
        <v>328.44</v>
      </c>
    </row>
    <row r="345" spans="1:10" x14ac:dyDescent="0.25">
      <c r="A345" s="170" t="s">
        <v>661</v>
      </c>
      <c r="B345" s="171" t="s">
        <v>662</v>
      </c>
      <c r="C345" s="170" t="s">
        <v>1141</v>
      </c>
      <c r="D345" s="171" t="s">
        <v>1247</v>
      </c>
      <c r="E345" s="172" t="s">
        <v>452</v>
      </c>
      <c r="F345" s="170">
        <v>6500</v>
      </c>
      <c r="G345" s="173">
        <v>0.33</v>
      </c>
      <c r="H345" s="173">
        <f t="shared" si="23"/>
        <v>0.3795</v>
      </c>
      <c r="I345" s="173">
        <f t="shared" si="25"/>
        <v>2466.75</v>
      </c>
      <c r="J345" s="173">
        <f t="shared" si="24"/>
        <v>2935.4324999999999</v>
      </c>
    </row>
    <row r="346" spans="1:10" x14ac:dyDescent="0.25">
      <c r="A346" s="170" t="s">
        <v>661</v>
      </c>
      <c r="B346" s="171" t="s">
        <v>662</v>
      </c>
      <c r="C346" s="170" t="s">
        <v>1248</v>
      </c>
      <c r="D346" s="171" t="s">
        <v>705</v>
      </c>
      <c r="E346" s="172" t="s">
        <v>452</v>
      </c>
      <c r="F346" s="170">
        <v>2270</v>
      </c>
      <c r="G346" s="173">
        <v>1.5</v>
      </c>
      <c r="H346" s="173">
        <f t="shared" si="23"/>
        <v>1.7249999999999999</v>
      </c>
      <c r="I346" s="173">
        <f t="shared" si="25"/>
        <v>3915.7499999999995</v>
      </c>
      <c r="J346" s="173">
        <f t="shared" si="24"/>
        <v>4659.7424999999994</v>
      </c>
    </row>
    <row r="347" spans="1:10" ht="30" x14ac:dyDescent="0.25">
      <c r="A347" s="170" t="s">
        <v>661</v>
      </c>
      <c r="B347" s="171" t="s">
        <v>662</v>
      </c>
      <c r="C347" s="170" t="s">
        <v>1162</v>
      </c>
      <c r="D347" s="171" t="s">
        <v>1249</v>
      </c>
      <c r="E347" s="172" t="s">
        <v>452</v>
      </c>
      <c r="F347" s="170">
        <v>50</v>
      </c>
      <c r="G347" s="173">
        <v>60</v>
      </c>
      <c r="H347" s="173">
        <f t="shared" si="23"/>
        <v>69</v>
      </c>
      <c r="I347" s="173">
        <f t="shared" si="25"/>
        <v>3450</v>
      </c>
      <c r="J347" s="173">
        <f t="shared" si="24"/>
        <v>4105.5</v>
      </c>
    </row>
    <row r="348" spans="1:10" x14ac:dyDescent="0.25">
      <c r="A348" s="170" t="s">
        <v>661</v>
      </c>
      <c r="B348" s="171" t="s">
        <v>662</v>
      </c>
      <c r="C348" s="170" t="s">
        <v>1250</v>
      </c>
      <c r="D348" s="171" t="s">
        <v>666</v>
      </c>
      <c r="E348" s="172" t="s">
        <v>452</v>
      </c>
      <c r="F348" s="170">
        <v>48500</v>
      </c>
      <c r="G348" s="173">
        <v>1.6</v>
      </c>
      <c r="H348" s="173">
        <f t="shared" si="23"/>
        <v>1.8399999999999999</v>
      </c>
      <c r="I348" s="173">
        <f t="shared" si="25"/>
        <v>89240</v>
      </c>
      <c r="J348" s="173">
        <f t="shared" si="24"/>
        <v>106195.59999999999</v>
      </c>
    </row>
    <row r="349" spans="1:10" x14ac:dyDescent="0.25">
      <c r="A349" s="170" t="s">
        <v>661</v>
      </c>
      <c r="B349" s="171" t="s">
        <v>662</v>
      </c>
      <c r="C349" s="170" t="s">
        <v>1043</v>
      </c>
      <c r="D349" s="171" t="s">
        <v>685</v>
      </c>
      <c r="E349" s="172" t="s">
        <v>452</v>
      </c>
      <c r="F349" s="170">
        <v>50</v>
      </c>
      <c r="G349" s="173">
        <v>66</v>
      </c>
      <c r="H349" s="173">
        <f t="shared" si="23"/>
        <v>75.899999999999991</v>
      </c>
      <c r="I349" s="173">
        <f t="shared" si="25"/>
        <v>3794.9999999999995</v>
      </c>
      <c r="J349" s="173">
        <f t="shared" si="24"/>
        <v>4516.0499999999993</v>
      </c>
    </row>
    <row r="350" spans="1:10" ht="30" x14ac:dyDescent="0.25">
      <c r="A350" s="170" t="s">
        <v>661</v>
      </c>
      <c r="B350" s="171" t="s">
        <v>662</v>
      </c>
      <c r="C350" s="170" t="s">
        <v>1251</v>
      </c>
      <c r="D350" s="171" t="s">
        <v>1252</v>
      </c>
      <c r="E350" s="172" t="s">
        <v>452</v>
      </c>
      <c r="F350" s="170">
        <v>50500</v>
      </c>
      <c r="G350" s="173">
        <v>2.81</v>
      </c>
      <c r="H350" s="173">
        <f t="shared" si="23"/>
        <v>3.2314999999999996</v>
      </c>
      <c r="I350" s="173">
        <f t="shared" si="25"/>
        <v>163190.74999999997</v>
      </c>
      <c r="J350" s="173">
        <f t="shared" si="24"/>
        <v>194196.99249999996</v>
      </c>
    </row>
    <row r="351" spans="1:10" ht="30" x14ac:dyDescent="0.25">
      <c r="A351" s="170" t="s">
        <v>661</v>
      </c>
      <c r="B351" s="171" t="s">
        <v>662</v>
      </c>
      <c r="C351" s="170" t="s">
        <v>1253</v>
      </c>
      <c r="D351" s="171" t="s">
        <v>726</v>
      </c>
      <c r="E351" s="172" t="s">
        <v>452</v>
      </c>
      <c r="F351" s="170">
        <v>300</v>
      </c>
      <c r="G351" s="173">
        <v>37.6</v>
      </c>
      <c r="H351" s="173">
        <f t="shared" si="23"/>
        <v>43.239999999999995</v>
      </c>
      <c r="I351" s="173">
        <f t="shared" si="25"/>
        <v>12971.999999999998</v>
      </c>
      <c r="J351" s="173">
        <f t="shared" si="24"/>
        <v>15436.679999999997</v>
      </c>
    </row>
    <row r="352" spans="1:10" ht="30" x14ac:dyDescent="0.25">
      <c r="A352" s="170" t="s">
        <v>661</v>
      </c>
      <c r="B352" s="171" t="s">
        <v>662</v>
      </c>
      <c r="C352" s="170" t="s">
        <v>1251</v>
      </c>
      <c r="D352" s="171" t="s">
        <v>1254</v>
      </c>
      <c r="E352" s="172" t="s">
        <v>452</v>
      </c>
      <c r="F352" s="170">
        <v>3800</v>
      </c>
      <c r="G352" s="173">
        <v>5.2</v>
      </c>
      <c r="H352" s="173">
        <f t="shared" si="23"/>
        <v>5.9799999999999995</v>
      </c>
      <c r="I352" s="173">
        <f t="shared" si="25"/>
        <v>22724</v>
      </c>
      <c r="J352" s="173">
        <f t="shared" si="24"/>
        <v>27041.559999999998</v>
      </c>
    </row>
    <row r="353" spans="1:10" ht="30" x14ac:dyDescent="0.25">
      <c r="A353" s="170" t="s">
        <v>661</v>
      </c>
      <c r="B353" s="171" t="s">
        <v>662</v>
      </c>
      <c r="C353" s="174" t="s">
        <v>1043</v>
      </c>
      <c r="D353" s="171" t="s">
        <v>690</v>
      </c>
      <c r="E353" s="172" t="s">
        <v>452</v>
      </c>
      <c r="F353" s="170">
        <v>600</v>
      </c>
      <c r="G353" s="173">
        <v>17</v>
      </c>
      <c r="H353" s="173">
        <f t="shared" si="23"/>
        <v>19.549999999999997</v>
      </c>
      <c r="I353" s="173">
        <f t="shared" si="25"/>
        <v>11729.999999999998</v>
      </c>
      <c r="J353" s="173">
        <f t="shared" si="24"/>
        <v>13958.699999999997</v>
      </c>
    </row>
    <row r="354" spans="1:10" ht="45" x14ac:dyDescent="0.25">
      <c r="A354" s="170" t="s">
        <v>661</v>
      </c>
      <c r="B354" s="171" t="s">
        <v>662</v>
      </c>
      <c r="C354" s="170" t="s">
        <v>1222</v>
      </c>
      <c r="D354" s="171" t="s">
        <v>1255</v>
      </c>
      <c r="E354" s="172" t="s">
        <v>452</v>
      </c>
      <c r="F354" s="170">
        <v>300</v>
      </c>
      <c r="G354" s="173">
        <v>17</v>
      </c>
      <c r="H354" s="173">
        <f t="shared" si="23"/>
        <v>19.549999999999997</v>
      </c>
      <c r="I354" s="173">
        <f t="shared" si="25"/>
        <v>5864.9999999999991</v>
      </c>
      <c r="J354" s="173">
        <f t="shared" si="24"/>
        <v>6979.3499999999985</v>
      </c>
    </row>
    <row r="355" spans="1:10" x14ac:dyDescent="0.25">
      <c r="A355" s="170" t="s">
        <v>661</v>
      </c>
      <c r="B355" s="171" t="s">
        <v>662</v>
      </c>
      <c r="C355" s="170" t="s">
        <v>1043</v>
      </c>
      <c r="D355" s="171" t="s">
        <v>1256</v>
      </c>
      <c r="E355" s="172" t="s">
        <v>452</v>
      </c>
      <c r="F355" s="170">
        <v>500</v>
      </c>
      <c r="G355" s="173">
        <v>2</v>
      </c>
      <c r="H355" s="173">
        <f t="shared" si="23"/>
        <v>2.2999999999999998</v>
      </c>
      <c r="I355" s="173">
        <f t="shared" si="25"/>
        <v>1150</v>
      </c>
      <c r="J355" s="173">
        <f t="shared" si="24"/>
        <v>1368.5</v>
      </c>
    </row>
    <row r="356" spans="1:10" x14ac:dyDescent="0.25">
      <c r="A356" s="170" t="s">
        <v>661</v>
      </c>
      <c r="B356" s="171" t="s">
        <v>662</v>
      </c>
      <c r="C356" s="170" t="s">
        <v>1251</v>
      </c>
      <c r="D356" s="171" t="s">
        <v>1257</v>
      </c>
      <c r="E356" s="172" t="s">
        <v>452</v>
      </c>
      <c r="F356" s="170">
        <v>2400</v>
      </c>
      <c r="G356" s="173">
        <v>7.8</v>
      </c>
      <c r="H356" s="173">
        <f t="shared" si="23"/>
        <v>8.9699999999999989</v>
      </c>
      <c r="I356" s="173">
        <f t="shared" si="25"/>
        <v>21527.999999999996</v>
      </c>
      <c r="J356" s="173">
        <f t="shared" si="24"/>
        <v>25618.319999999996</v>
      </c>
    </row>
    <row r="357" spans="1:10" ht="30" x14ac:dyDescent="0.25">
      <c r="A357" s="170" t="s">
        <v>661</v>
      </c>
      <c r="B357" s="171" t="s">
        <v>662</v>
      </c>
      <c r="C357" s="174" t="s">
        <v>1043</v>
      </c>
      <c r="D357" s="171" t="s">
        <v>1258</v>
      </c>
      <c r="E357" s="172" t="s">
        <v>452</v>
      </c>
      <c r="F357" s="170">
        <v>2</v>
      </c>
      <c r="G357" s="173">
        <v>2676</v>
      </c>
      <c r="H357" s="173">
        <f t="shared" si="23"/>
        <v>3077.3999999999996</v>
      </c>
      <c r="I357" s="173">
        <f t="shared" si="25"/>
        <v>6154.7999999999993</v>
      </c>
      <c r="J357" s="173">
        <f t="shared" si="24"/>
        <v>7324.2119999999986</v>
      </c>
    </row>
    <row r="358" spans="1:10" ht="30" x14ac:dyDescent="0.25">
      <c r="A358" s="170" t="s">
        <v>661</v>
      </c>
      <c r="B358" s="171" t="s">
        <v>662</v>
      </c>
      <c r="C358" s="170" t="s">
        <v>1043</v>
      </c>
      <c r="D358" s="171" t="s">
        <v>719</v>
      </c>
      <c r="E358" s="172" t="s">
        <v>452</v>
      </c>
      <c r="F358" s="170">
        <v>100</v>
      </c>
      <c r="G358" s="173">
        <v>47</v>
      </c>
      <c r="H358" s="173">
        <f t="shared" si="23"/>
        <v>54.05</v>
      </c>
      <c r="I358" s="173">
        <f t="shared" si="25"/>
        <v>5405</v>
      </c>
      <c r="J358" s="173">
        <f t="shared" si="24"/>
        <v>6431.95</v>
      </c>
    </row>
    <row r="359" spans="1:10" x14ac:dyDescent="0.25">
      <c r="A359" s="170" t="s">
        <v>661</v>
      </c>
      <c r="B359" s="171" t="s">
        <v>662</v>
      </c>
      <c r="C359" s="170" t="s">
        <v>1248</v>
      </c>
      <c r="D359" s="171" t="s">
        <v>667</v>
      </c>
      <c r="E359" s="172" t="s">
        <v>452</v>
      </c>
      <c r="F359" s="170">
        <v>1500</v>
      </c>
      <c r="G359" s="173">
        <v>2.69</v>
      </c>
      <c r="H359" s="173">
        <f t="shared" si="23"/>
        <v>3.0934999999999997</v>
      </c>
      <c r="I359" s="173">
        <f t="shared" si="25"/>
        <v>4640.2499999999991</v>
      </c>
      <c r="J359" s="173">
        <f t="shared" si="24"/>
        <v>5521.8974999999982</v>
      </c>
    </row>
    <row r="360" spans="1:10" x14ac:dyDescent="0.25">
      <c r="A360" s="170" t="s">
        <v>661</v>
      </c>
      <c r="B360" s="171" t="s">
        <v>662</v>
      </c>
      <c r="C360" s="170" t="s">
        <v>1138</v>
      </c>
      <c r="D360" s="171" t="s">
        <v>663</v>
      </c>
      <c r="E360" s="172" t="s">
        <v>452</v>
      </c>
      <c r="F360" s="170">
        <v>5000</v>
      </c>
      <c r="G360" s="173">
        <v>0.2</v>
      </c>
      <c r="H360" s="173">
        <f t="shared" si="23"/>
        <v>0.22999999999999998</v>
      </c>
      <c r="I360" s="173">
        <f t="shared" si="25"/>
        <v>1150</v>
      </c>
      <c r="J360" s="173">
        <f t="shared" si="24"/>
        <v>1368.5</v>
      </c>
    </row>
    <row r="361" spans="1:10" x14ac:dyDescent="0.25">
      <c r="A361" s="170" t="s">
        <v>661</v>
      </c>
      <c r="B361" s="171" t="s">
        <v>662</v>
      </c>
      <c r="C361" s="170" t="s">
        <v>1141</v>
      </c>
      <c r="D361" s="171" t="s">
        <v>1142</v>
      </c>
      <c r="E361" s="172" t="s">
        <v>452</v>
      </c>
      <c r="F361" s="170">
        <v>10000</v>
      </c>
      <c r="G361" s="173">
        <v>0.14000000000000001</v>
      </c>
      <c r="H361" s="173">
        <f t="shared" si="23"/>
        <v>0.161</v>
      </c>
      <c r="I361" s="173">
        <f t="shared" si="25"/>
        <v>1610</v>
      </c>
      <c r="J361" s="173">
        <f t="shared" si="24"/>
        <v>1915.8999999999999</v>
      </c>
    </row>
    <row r="362" spans="1:10" x14ac:dyDescent="0.25">
      <c r="A362" s="170" t="s">
        <v>661</v>
      </c>
      <c r="B362" s="171" t="s">
        <v>662</v>
      </c>
      <c r="C362" s="170" t="s">
        <v>1141</v>
      </c>
      <c r="D362" s="171" t="s">
        <v>1259</v>
      </c>
      <c r="E362" s="172" t="s">
        <v>452</v>
      </c>
      <c r="F362" s="170">
        <v>8000</v>
      </c>
      <c r="G362" s="173">
        <v>0.2</v>
      </c>
      <c r="H362" s="173">
        <f t="shared" si="23"/>
        <v>0.22999999999999998</v>
      </c>
      <c r="I362" s="173">
        <f t="shared" si="25"/>
        <v>1839.9999999999998</v>
      </c>
      <c r="J362" s="173">
        <f t="shared" si="24"/>
        <v>2189.5999999999995</v>
      </c>
    </row>
    <row r="363" spans="1:10" x14ac:dyDescent="0.25">
      <c r="A363" s="170" t="s">
        <v>661</v>
      </c>
      <c r="B363" s="171" t="s">
        <v>662</v>
      </c>
      <c r="C363" s="174" t="s">
        <v>1043</v>
      </c>
      <c r="D363" s="175" t="s">
        <v>1260</v>
      </c>
      <c r="E363" s="172" t="s">
        <v>452</v>
      </c>
      <c r="F363" s="170">
        <v>8000</v>
      </c>
      <c r="G363" s="173">
        <v>1.24</v>
      </c>
      <c r="H363" s="173">
        <f t="shared" si="23"/>
        <v>1.4259999999999999</v>
      </c>
      <c r="I363" s="173">
        <f t="shared" si="25"/>
        <v>11408</v>
      </c>
      <c r="J363" s="173">
        <f t="shared" si="24"/>
        <v>13575.519999999999</v>
      </c>
    </row>
    <row r="364" spans="1:10" x14ac:dyDescent="0.25">
      <c r="A364" s="170" t="s">
        <v>661</v>
      </c>
      <c r="B364" s="171" t="s">
        <v>662</v>
      </c>
      <c r="C364" s="174" t="s">
        <v>1043</v>
      </c>
      <c r="D364" s="171" t="s">
        <v>730</v>
      </c>
      <c r="E364" s="172" t="s">
        <v>452</v>
      </c>
      <c r="F364" s="170">
        <v>25</v>
      </c>
      <c r="G364" s="173">
        <v>125</v>
      </c>
      <c r="H364" s="173">
        <f t="shared" si="23"/>
        <v>143.75</v>
      </c>
      <c r="I364" s="173">
        <f t="shared" si="25"/>
        <v>3593.75</v>
      </c>
      <c r="J364" s="173">
        <f t="shared" si="24"/>
        <v>4276.5625</v>
      </c>
    </row>
    <row r="365" spans="1:10" ht="30" x14ac:dyDescent="0.25">
      <c r="A365" s="170" t="s">
        <v>661</v>
      </c>
      <c r="B365" s="171" t="s">
        <v>662</v>
      </c>
      <c r="C365" s="174" t="s">
        <v>1043</v>
      </c>
      <c r="D365" s="171" t="s">
        <v>732</v>
      </c>
      <c r="E365" s="172" t="s">
        <v>452</v>
      </c>
      <c r="F365" s="170">
        <v>30</v>
      </c>
      <c r="G365" s="173">
        <v>63.3</v>
      </c>
      <c r="H365" s="173">
        <f t="shared" si="23"/>
        <v>72.794999999999987</v>
      </c>
      <c r="I365" s="173">
        <f t="shared" si="25"/>
        <v>2183.8499999999995</v>
      </c>
      <c r="J365" s="173">
        <f t="shared" si="24"/>
        <v>2598.7814999999991</v>
      </c>
    </row>
    <row r="366" spans="1:10" x14ac:dyDescent="0.25">
      <c r="A366" s="170" t="s">
        <v>661</v>
      </c>
      <c r="B366" s="171" t="s">
        <v>662</v>
      </c>
      <c r="C366" s="174" t="s">
        <v>1043</v>
      </c>
      <c r="D366" s="171" t="s">
        <v>725</v>
      </c>
      <c r="E366" s="172" t="s">
        <v>452</v>
      </c>
      <c r="F366" s="170">
        <v>500</v>
      </c>
      <c r="G366" s="173">
        <v>2.78</v>
      </c>
      <c r="H366" s="173">
        <f t="shared" si="23"/>
        <v>3.1969999999999996</v>
      </c>
      <c r="I366" s="173">
        <f t="shared" si="25"/>
        <v>1598.4999999999998</v>
      </c>
      <c r="J366" s="173">
        <f t="shared" si="24"/>
        <v>1902.2149999999997</v>
      </c>
    </row>
    <row r="367" spans="1:10" x14ac:dyDescent="0.25">
      <c r="A367" s="170" t="s">
        <v>661</v>
      </c>
      <c r="B367" s="171" t="s">
        <v>662</v>
      </c>
      <c r="C367" s="174" t="s">
        <v>1043</v>
      </c>
      <c r="D367" s="171" t="s">
        <v>722</v>
      </c>
      <c r="E367" s="172" t="s">
        <v>452</v>
      </c>
      <c r="F367" s="170">
        <v>30</v>
      </c>
      <c r="G367" s="173">
        <v>63.3</v>
      </c>
      <c r="H367" s="173">
        <f t="shared" si="23"/>
        <v>72.794999999999987</v>
      </c>
      <c r="I367" s="173">
        <f t="shared" si="25"/>
        <v>2183.8499999999995</v>
      </c>
      <c r="J367" s="173">
        <f t="shared" si="24"/>
        <v>2598.7814999999991</v>
      </c>
    </row>
    <row r="368" spans="1:10" x14ac:dyDescent="0.25">
      <c r="A368" s="170" t="s">
        <v>661</v>
      </c>
      <c r="B368" s="171" t="s">
        <v>662</v>
      </c>
      <c r="C368" s="174" t="s">
        <v>1043</v>
      </c>
      <c r="D368" s="171" t="s">
        <v>731</v>
      </c>
      <c r="E368" s="172" t="s">
        <v>452</v>
      </c>
      <c r="F368" s="170">
        <v>30</v>
      </c>
      <c r="G368" s="173">
        <v>63.3</v>
      </c>
      <c r="H368" s="173">
        <f t="shared" si="23"/>
        <v>72.794999999999987</v>
      </c>
      <c r="I368" s="173">
        <f t="shared" si="25"/>
        <v>2183.8499999999995</v>
      </c>
      <c r="J368" s="173">
        <f t="shared" si="24"/>
        <v>2598.7814999999991</v>
      </c>
    </row>
    <row r="369" spans="1:10" ht="30" x14ac:dyDescent="0.25">
      <c r="A369" s="170" t="s">
        <v>661</v>
      </c>
      <c r="B369" s="171" t="s">
        <v>662</v>
      </c>
      <c r="C369" s="170" t="s">
        <v>1199</v>
      </c>
      <c r="D369" s="171" t="s">
        <v>686</v>
      </c>
      <c r="E369" s="172" t="s">
        <v>452</v>
      </c>
      <c r="F369" s="170">
        <v>140</v>
      </c>
      <c r="G369" s="173">
        <v>17</v>
      </c>
      <c r="H369" s="173">
        <f t="shared" si="23"/>
        <v>19.549999999999997</v>
      </c>
      <c r="I369" s="173">
        <f t="shared" si="25"/>
        <v>2736.9999999999995</v>
      </c>
      <c r="J369" s="173">
        <f t="shared" si="24"/>
        <v>3257.0299999999993</v>
      </c>
    </row>
    <row r="370" spans="1:10" x14ac:dyDescent="0.25">
      <c r="A370" s="170" t="s">
        <v>661</v>
      </c>
      <c r="B370" s="171" t="s">
        <v>662</v>
      </c>
      <c r="C370" s="170" t="s">
        <v>1154</v>
      </c>
      <c r="D370" s="171" t="s">
        <v>1261</v>
      </c>
      <c r="E370" s="172" t="s">
        <v>452</v>
      </c>
      <c r="F370" s="170">
        <v>325</v>
      </c>
      <c r="G370" s="173">
        <v>61</v>
      </c>
      <c r="H370" s="173">
        <f t="shared" si="23"/>
        <v>70.149999999999991</v>
      </c>
      <c r="I370" s="173">
        <f t="shared" si="25"/>
        <v>22798.749999999996</v>
      </c>
      <c r="J370" s="173">
        <f t="shared" si="24"/>
        <v>27130.512499999993</v>
      </c>
    </row>
    <row r="371" spans="1:10" x14ac:dyDescent="0.25">
      <c r="A371" s="170" t="s">
        <v>661</v>
      </c>
      <c r="B371" s="171" t="s">
        <v>662</v>
      </c>
      <c r="C371" s="170" t="s">
        <v>1179</v>
      </c>
      <c r="D371" s="171" t="s">
        <v>1262</v>
      </c>
      <c r="E371" s="172" t="s">
        <v>688</v>
      </c>
      <c r="F371" s="170">
        <v>180</v>
      </c>
      <c r="G371" s="173">
        <v>8.5</v>
      </c>
      <c r="H371" s="173">
        <f t="shared" si="23"/>
        <v>9.7749999999999986</v>
      </c>
      <c r="I371" s="173">
        <f t="shared" si="25"/>
        <v>1759.4999999999998</v>
      </c>
      <c r="J371" s="173">
        <f t="shared" si="24"/>
        <v>2093.8049999999998</v>
      </c>
    </row>
    <row r="372" spans="1:10" x14ac:dyDescent="0.25">
      <c r="A372" s="170" t="s">
        <v>661</v>
      </c>
      <c r="B372" s="171" t="s">
        <v>662</v>
      </c>
      <c r="C372" s="174" t="s">
        <v>1043</v>
      </c>
      <c r="D372" s="171" t="s">
        <v>723</v>
      </c>
      <c r="E372" s="172" t="s">
        <v>452</v>
      </c>
      <c r="F372" s="170">
        <v>800</v>
      </c>
      <c r="G372" s="173">
        <v>1.8</v>
      </c>
      <c r="H372" s="173">
        <f t="shared" si="23"/>
        <v>2.0699999999999998</v>
      </c>
      <c r="I372" s="173">
        <f t="shared" si="25"/>
        <v>1655.9999999999998</v>
      </c>
      <c r="J372" s="173">
        <f t="shared" si="24"/>
        <v>1970.6399999999996</v>
      </c>
    </row>
    <row r="373" spans="1:10" x14ac:dyDescent="0.25">
      <c r="A373" s="170" t="s">
        <v>661</v>
      </c>
      <c r="B373" s="171" t="s">
        <v>662</v>
      </c>
      <c r="C373" s="170" t="s">
        <v>1186</v>
      </c>
      <c r="D373" s="171" t="s">
        <v>397</v>
      </c>
      <c r="E373" s="172" t="s">
        <v>452</v>
      </c>
      <c r="F373" s="170">
        <v>5000</v>
      </c>
      <c r="G373" s="173">
        <v>0.6</v>
      </c>
      <c r="H373" s="173">
        <f t="shared" si="23"/>
        <v>0.69</v>
      </c>
      <c r="I373" s="173">
        <f t="shared" si="25"/>
        <v>3449.9999999999995</v>
      </c>
      <c r="J373" s="173">
        <f t="shared" si="24"/>
        <v>4105.4999999999991</v>
      </c>
    </row>
    <row r="374" spans="1:10" x14ac:dyDescent="0.25">
      <c r="A374" s="170" t="s">
        <v>661</v>
      </c>
      <c r="B374" s="171" t="s">
        <v>662</v>
      </c>
      <c r="C374" s="174" t="s">
        <v>1043</v>
      </c>
      <c r="D374" s="171" t="s">
        <v>724</v>
      </c>
      <c r="E374" s="172" t="s">
        <v>452</v>
      </c>
      <c r="F374" s="170">
        <v>500</v>
      </c>
      <c r="G374" s="173">
        <v>4.45</v>
      </c>
      <c r="H374" s="173">
        <f t="shared" si="23"/>
        <v>5.1174999999999997</v>
      </c>
      <c r="I374" s="173">
        <f t="shared" si="25"/>
        <v>2558.75</v>
      </c>
      <c r="J374" s="173">
        <f t="shared" si="24"/>
        <v>3044.9124999999999</v>
      </c>
    </row>
    <row r="375" spans="1:10" x14ac:dyDescent="0.25">
      <c r="A375" s="170" t="s">
        <v>661</v>
      </c>
      <c r="B375" s="171" t="s">
        <v>662</v>
      </c>
      <c r="C375" s="170" t="s">
        <v>1141</v>
      </c>
      <c r="D375" s="171" t="s">
        <v>1192</v>
      </c>
      <c r="E375" s="172" t="s">
        <v>452</v>
      </c>
      <c r="F375" s="170">
        <v>7000</v>
      </c>
      <c r="G375" s="173">
        <v>5</v>
      </c>
      <c r="H375" s="173">
        <f t="shared" si="23"/>
        <v>5.75</v>
      </c>
      <c r="I375" s="173">
        <f t="shared" si="25"/>
        <v>40250</v>
      </c>
      <c r="J375" s="173">
        <f t="shared" si="24"/>
        <v>47897.5</v>
      </c>
    </row>
    <row r="376" spans="1:10" ht="30" x14ac:dyDescent="0.25">
      <c r="A376" s="170" t="s">
        <v>661</v>
      </c>
      <c r="B376" s="171" t="s">
        <v>662</v>
      </c>
      <c r="C376" s="174" t="s">
        <v>1043</v>
      </c>
      <c r="D376" s="171" t="s">
        <v>727</v>
      </c>
      <c r="E376" s="172" t="s">
        <v>452</v>
      </c>
      <c r="F376" s="170">
        <v>3</v>
      </c>
      <c r="G376" s="173">
        <v>250</v>
      </c>
      <c r="H376" s="173">
        <f t="shared" si="23"/>
        <v>287.5</v>
      </c>
      <c r="I376" s="173">
        <f t="shared" si="25"/>
        <v>862.5</v>
      </c>
      <c r="J376" s="173">
        <f t="shared" si="24"/>
        <v>1026.375</v>
      </c>
    </row>
    <row r="377" spans="1:10" x14ac:dyDescent="0.25">
      <c r="A377" s="170" t="s">
        <v>661</v>
      </c>
      <c r="B377" s="171" t="s">
        <v>662</v>
      </c>
      <c r="C377" s="170" t="s">
        <v>1199</v>
      </c>
      <c r="D377" s="171" t="s">
        <v>1200</v>
      </c>
      <c r="E377" s="172" t="s">
        <v>452</v>
      </c>
      <c r="F377" s="170">
        <v>360</v>
      </c>
      <c r="G377" s="173">
        <v>24</v>
      </c>
      <c r="H377" s="173">
        <f t="shared" si="23"/>
        <v>27.599999999999998</v>
      </c>
      <c r="I377" s="173">
        <f t="shared" si="25"/>
        <v>9936</v>
      </c>
      <c r="J377" s="173">
        <f t="shared" si="24"/>
        <v>11823.84</v>
      </c>
    </row>
    <row r="378" spans="1:10" x14ac:dyDescent="0.25">
      <c r="A378" s="170" t="s">
        <v>661</v>
      </c>
      <c r="B378" s="171" t="s">
        <v>662</v>
      </c>
      <c r="C378" s="174" t="s">
        <v>1043</v>
      </c>
      <c r="D378" s="171" t="s">
        <v>721</v>
      </c>
      <c r="E378" s="172" t="s">
        <v>452</v>
      </c>
      <c r="F378" s="170">
        <v>20</v>
      </c>
      <c r="G378" s="173">
        <v>45</v>
      </c>
      <c r="H378" s="173">
        <f t="shared" si="23"/>
        <v>51.749999999999993</v>
      </c>
      <c r="I378" s="173">
        <f t="shared" si="25"/>
        <v>1034.9999999999998</v>
      </c>
      <c r="J378" s="173">
        <f t="shared" si="24"/>
        <v>1231.6499999999996</v>
      </c>
    </row>
    <row r="379" spans="1:10" x14ac:dyDescent="0.25">
      <c r="A379" s="170" t="s">
        <v>661</v>
      </c>
      <c r="B379" s="171" t="s">
        <v>662</v>
      </c>
      <c r="C379" s="170" t="s">
        <v>1203</v>
      </c>
      <c r="D379" s="171" t="s">
        <v>1204</v>
      </c>
      <c r="E379" s="172" t="s">
        <v>452</v>
      </c>
      <c r="F379" s="170">
        <v>2000</v>
      </c>
      <c r="G379" s="173">
        <v>2.2000000000000002</v>
      </c>
      <c r="H379" s="173">
        <f t="shared" si="23"/>
        <v>2.5299999999999998</v>
      </c>
      <c r="I379" s="173">
        <f t="shared" si="25"/>
        <v>5060</v>
      </c>
      <c r="J379" s="173">
        <f t="shared" si="24"/>
        <v>6021.4</v>
      </c>
    </row>
    <row r="380" spans="1:10" ht="30" x14ac:dyDescent="0.25">
      <c r="A380" s="170" t="s">
        <v>661</v>
      </c>
      <c r="B380" s="171" t="s">
        <v>662</v>
      </c>
      <c r="C380" s="170" t="s">
        <v>1203</v>
      </c>
      <c r="D380" s="171" t="s">
        <v>1263</v>
      </c>
      <c r="E380" s="172" t="s">
        <v>452</v>
      </c>
      <c r="F380" s="170">
        <v>3900</v>
      </c>
      <c r="G380" s="173">
        <v>5</v>
      </c>
      <c r="H380" s="173">
        <f t="shared" si="23"/>
        <v>5.75</v>
      </c>
      <c r="I380" s="173">
        <f t="shared" si="25"/>
        <v>22425</v>
      </c>
      <c r="J380" s="173">
        <f t="shared" si="24"/>
        <v>26685.75</v>
      </c>
    </row>
    <row r="381" spans="1:10" ht="30" x14ac:dyDescent="0.25">
      <c r="A381" s="170" t="s">
        <v>661</v>
      </c>
      <c r="B381" s="171" t="s">
        <v>662</v>
      </c>
      <c r="C381" s="170" t="s">
        <v>1203</v>
      </c>
      <c r="D381" s="171" t="s">
        <v>1206</v>
      </c>
      <c r="E381" s="172" t="s">
        <v>452</v>
      </c>
      <c r="F381" s="170">
        <v>100</v>
      </c>
      <c r="G381" s="173">
        <v>5</v>
      </c>
      <c r="H381" s="173">
        <f t="shared" si="23"/>
        <v>5.75</v>
      </c>
      <c r="I381" s="173">
        <f t="shared" si="25"/>
        <v>575</v>
      </c>
      <c r="J381" s="173">
        <f t="shared" si="24"/>
        <v>684.25</v>
      </c>
    </row>
    <row r="382" spans="1:10" x14ac:dyDescent="0.25">
      <c r="A382" s="170" t="s">
        <v>661</v>
      </c>
      <c r="B382" s="171" t="s">
        <v>662</v>
      </c>
      <c r="C382" s="174" t="s">
        <v>1264</v>
      </c>
      <c r="D382" s="171" t="s">
        <v>1208</v>
      </c>
      <c r="E382" s="172" t="s">
        <v>452</v>
      </c>
      <c r="F382" s="170">
        <f>100000+90000</f>
        <v>190000</v>
      </c>
      <c r="G382" s="173">
        <v>0.25</v>
      </c>
      <c r="H382" s="173">
        <f t="shared" si="23"/>
        <v>0.28749999999999998</v>
      </c>
      <c r="I382" s="173">
        <f t="shared" si="25"/>
        <v>54624.999999999993</v>
      </c>
      <c r="J382" s="173">
        <f t="shared" si="24"/>
        <v>65003.749999999985</v>
      </c>
    </row>
    <row r="383" spans="1:10" ht="30" x14ac:dyDescent="0.25">
      <c r="A383" s="170" t="s">
        <v>661</v>
      </c>
      <c r="B383" s="171" t="s">
        <v>662</v>
      </c>
      <c r="C383" s="174" t="s">
        <v>1043</v>
      </c>
      <c r="D383" s="171" t="s">
        <v>1265</v>
      </c>
      <c r="E383" s="172" t="s">
        <v>452</v>
      </c>
      <c r="F383" s="170">
        <v>20</v>
      </c>
      <c r="G383" s="173">
        <v>187</v>
      </c>
      <c r="H383" s="173">
        <f t="shared" si="23"/>
        <v>215.04999999999998</v>
      </c>
      <c r="I383" s="173">
        <f t="shared" si="25"/>
        <v>4301</v>
      </c>
      <c r="J383" s="173">
        <f t="shared" si="24"/>
        <v>5118.1899999999996</v>
      </c>
    </row>
    <row r="384" spans="1:10" x14ac:dyDescent="0.25">
      <c r="A384" s="170" t="s">
        <v>661</v>
      </c>
      <c r="B384" s="171" t="s">
        <v>662</v>
      </c>
      <c r="C384" s="170" t="s">
        <v>1213</v>
      </c>
      <c r="D384" s="171" t="s">
        <v>1266</v>
      </c>
      <c r="E384" s="172" t="s">
        <v>452</v>
      </c>
      <c r="F384" s="170">
        <v>800</v>
      </c>
      <c r="G384" s="173">
        <v>2.2400000000000002</v>
      </c>
      <c r="H384" s="173">
        <f t="shared" si="23"/>
        <v>2.5760000000000001</v>
      </c>
      <c r="I384" s="173">
        <f t="shared" si="25"/>
        <v>2060.8000000000002</v>
      </c>
      <c r="J384" s="173">
        <f t="shared" si="24"/>
        <v>2452.3520000000003</v>
      </c>
    </row>
    <row r="385" spans="1:10" x14ac:dyDescent="0.25">
      <c r="A385" s="170" t="s">
        <v>661</v>
      </c>
      <c r="B385" s="171" t="s">
        <v>662</v>
      </c>
      <c r="C385" s="170" t="s">
        <v>1213</v>
      </c>
      <c r="D385" s="171" t="s">
        <v>1267</v>
      </c>
      <c r="E385" s="172" t="s">
        <v>452</v>
      </c>
      <c r="F385" s="170">
        <v>150</v>
      </c>
      <c r="G385" s="173">
        <v>2.94</v>
      </c>
      <c r="H385" s="173">
        <f t="shared" si="23"/>
        <v>3.3809999999999998</v>
      </c>
      <c r="I385" s="173">
        <f t="shared" si="25"/>
        <v>507.15</v>
      </c>
      <c r="J385" s="173">
        <f t="shared" si="24"/>
        <v>603.50849999999991</v>
      </c>
    </row>
    <row r="386" spans="1:10" x14ac:dyDescent="0.25">
      <c r="A386" s="170" t="s">
        <v>661</v>
      </c>
      <c r="B386" s="171" t="s">
        <v>662</v>
      </c>
      <c r="C386" s="170" t="s">
        <v>1141</v>
      </c>
      <c r="D386" s="171" t="s">
        <v>1268</v>
      </c>
      <c r="E386" s="172" t="s">
        <v>452</v>
      </c>
      <c r="F386" s="170">
        <v>8000</v>
      </c>
      <c r="G386" s="173">
        <v>0.4</v>
      </c>
      <c r="H386" s="173">
        <f t="shared" si="23"/>
        <v>0.45999999999999996</v>
      </c>
      <c r="I386" s="173">
        <f t="shared" si="25"/>
        <v>3679.9999999999995</v>
      </c>
      <c r="J386" s="173">
        <f t="shared" si="24"/>
        <v>4379.1999999999989</v>
      </c>
    </row>
    <row r="387" spans="1:10" ht="30" x14ac:dyDescent="0.25">
      <c r="A387" s="170" t="s">
        <v>661</v>
      </c>
      <c r="B387" s="171" t="s">
        <v>662</v>
      </c>
      <c r="C387" s="174" t="s">
        <v>1043</v>
      </c>
      <c r="D387" s="171" t="s">
        <v>728</v>
      </c>
      <c r="E387" s="172" t="s">
        <v>452</v>
      </c>
      <c r="F387" s="170">
        <v>2</v>
      </c>
      <c r="G387" s="173">
        <v>1250</v>
      </c>
      <c r="H387" s="173">
        <f t="shared" ref="H387:H450" si="26">G387*1.15</f>
        <v>1437.5</v>
      </c>
      <c r="I387" s="173">
        <f t="shared" si="25"/>
        <v>2875</v>
      </c>
      <c r="J387" s="173">
        <f t="shared" si="24"/>
        <v>3421.25</v>
      </c>
    </row>
    <row r="388" spans="1:10" x14ac:dyDescent="0.25">
      <c r="A388" s="170" t="s">
        <v>661</v>
      </c>
      <c r="B388" s="171" t="s">
        <v>662</v>
      </c>
      <c r="C388" s="170" t="s">
        <v>1213</v>
      </c>
      <c r="D388" s="171" t="s">
        <v>718</v>
      </c>
      <c r="E388" s="172" t="s">
        <v>452</v>
      </c>
      <c r="F388" s="170">
        <v>300</v>
      </c>
      <c r="G388" s="173">
        <v>2.2000000000000002</v>
      </c>
      <c r="H388" s="173">
        <f t="shared" si="26"/>
        <v>2.5299999999999998</v>
      </c>
      <c r="I388" s="173">
        <f t="shared" si="25"/>
        <v>758.99999999999989</v>
      </c>
      <c r="J388" s="173">
        <f t="shared" si="24"/>
        <v>903.20999999999981</v>
      </c>
    </row>
    <row r="389" spans="1:10" x14ac:dyDescent="0.25">
      <c r="A389" s="170" t="s">
        <v>661</v>
      </c>
      <c r="B389" s="171" t="s">
        <v>662</v>
      </c>
      <c r="C389" s="170" t="s">
        <v>1213</v>
      </c>
      <c r="D389" s="171" t="s">
        <v>1269</v>
      </c>
      <c r="E389" s="172" t="s">
        <v>452</v>
      </c>
      <c r="F389" s="170">
        <v>800</v>
      </c>
      <c r="G389" s="173">
        <v>2.5</v>
      </c>
      <c r="H389" s="173">
        <f t="shared" si="26"/>
        <v>2.875</v>
      </c>
      <c r="I389" s="173">
        <f t="shared" si="25"/>
        <v>2300</v>
      </c>
      <c r="J389" s="173">
        <f t="shared" si="24"/>
        <v>2737</v>
      </c>
    </row>
    <row r="390" spans="1:10" ht="30" x14ac:dyDescent="0.25">
      <c r="A390" s="170" t="s">
        <v>661</v>
      </c>
      <c r="B390" s="171" t="s">
        <v>662</v>
      </c>
      <c r="C390" s="174" t="s">
        <v>1043</v>
      </c>
      <c r="D390" s="171" t="s">
        <v>1270</v>
      </c>
      <c r="E390" s="172" t="s">
        <v>452</v>
      </c>
      <c r="F390" s="170">
        <v>200</v>
      </c>
      <c r="G390" s="173">
        <v>4.28</v>
      </c>
      <c r="H390" s="173">
        <f t="shared" si="26"/>
        <v>4.9219999999999997</v>
      </c>
      <c r="I390" s="173">
        <f t="shared" si="25"/>
        <v>984.4</v>
      </c>
      <c r="J390" s="173">
        <f t="shared" si="24"/>
        <v>1171.4359999999999</v>
      </c>
    </row>
    <row r="391" spans="1:10" x14ac:dyDescent="0.25">
      <c r="A391" s="170" t="s">
        <v>661</v>
      </c>
      <c r="B391" s="171" t="s">
        <v>662</v>
      </c>
      <c r="C391" s="170" t="s">
        <v>1215</v>
      </c>
      <c r="D391" s="171" t="s">
        <v>1271</v>
      </c>
      <c r="E391" s="172" t="s">
        <v>452</v>
      </c>
      <c r="F391" s="170">
        <v>14800</v>
      </c>
      <c r="G391" s="173">
        <v>2.25</v>
      </c>
      <c r="H391" s="173">
        <f t="shared" si="26"/>
        <v>2.5874999999999999</v>
      </c>
      <c r="I391" s="173">
        <f t="shared" si="25"/>
        <v>38295</v>
      </c>
      <c r="J391" s="173">
        <f t="shared" si="24"/>
        <v>45571.049999999996</v>
      </c>
    </row>
    <row r="392" spans="1:10" x14ac:dyDescent="0.25">
      <c r="A392" s="170" t="s">
        <v>661</v>
      </c>
      <c r="B392" s="171" t="s">
        <v>662</v>
      </c>
      <c r="C392" s="170" t="s">
        <v>1272</v>
      </c>
      <c r="D392" s="171" t="s">
        <v>1273</v>
      </c>
      <c r="E392" s="172" t="s">
        <v>452</v>
      </c>
      <c r="F392" s="170">
        <v>250</v>
      </c>
      <c r="G392" s="173">
        <v>39</v>
      </c>
      <c r="H392" s="173">
        <f t="shared" si="26"/>
        <v>44.849999999999994</v>
      </c>
      <c r="I392" s="173">
        <f t="shared" si="25"/>
        <v>11212.499999999998</v>
      </c>
      <c r="J392" s="173">
        <f t="shared" si="24"/>
        <v>13342.874999999996</v>
      </c>
    </row>
    <row r="393" spans="1:10" x14ac:dyDescent="0.25">
      <c r="A393" s="170" t="s">
        <v>661</v>
      </c>
      <c r="B393" s="171" t="s">
        <v>662</v>
      </c>
      <c r="C393" s="170" t="s">
        <v>1272</v>
      </c>
      <c r="D393" s="171" t="s">
        <v>477</v>
      </c>
      <c r="E393" s="172" t="s">
        <v>452</v>
      </c>
      <c r="F393" s="170">
        <v>1000</v>
      </c>
      <c r="G393" s="173">
        <v>1.4</v>
      </c>
      <c r="H393" s="173">
        <f t="shared" si="26"/>
        <v>1.6099999999999999</v>
      </c>
      <c r="I393" s="173">
        <f t="shared" si="25"/>
        <v>1609.9999999999998</v>
      </c>
      <c r="J393" s="173">
        <f t="shared" si="24"/>
        <v>1915.8999999999996</v>
      </c>
    </row>
    <row r="394" spans="1:10" x14ac:dyDescent="0.25">
      <c r="A394" s="170" t="s">
        <v>661</v>
      </c>
      <c r="B394" s="171" t="s">
        <v>662</v>
      </c>
      <c r="C394" s="170" t="s">
        <v>1222</v>
      </c>
      <c r="D394" s="171" t="s">
        <v>1223</v>
      </c>
      <c r="E394" s="172" t="s">
        <v>452</v>
      </c>
      <c r="F394" s="170">
        <v>20800</v>
      </c>
      <c r="G394" s="173">
        <v>0.44</v>
      </c>
      <c r="H394" s="173">
        <f t="shared" si="26"/>
        <v>0.50600000000000001</v>
      </c>
      <c r="I394" s="173">
        <f t="shared" si="25"/>
        <v>10524.8</v>
      </c>
      <c r="J394" s="173">
        <f t="shared" si="24"/>
        <v>12524.511999999999</v>
      </c>
    </row>
    <row r="395" spans="1:10" x14ac:dyDescent="0.25">
      <c r="A395" s="170" t="s">
        <v>661</v>
      </c>
      <c r="B395" s="171" t="s">
        <v>662</v>
      </c>
      <c r="C395" s="170" t="s">
        <v>1222</v>
      </c>
      <c r="D395" s="171" t="s">
        <v>1224</v>
      </c>
      <c r="E395" s="172" t="s">
        <v>452</v>
      </c>
      <c r="F395" s="170">
        <v>1000</v>
      </c>
      <c r="G395" s="173">
        <v>0.31</v>
      </c>
      <c r="H395" s="173">
        <f t="shared" si="26"/>
        <v>0.35649999999999998</v>
      </c>
      <c r="I395" s="173">
        <f t="shared" si="25"/>
        <v>356.5</v>
      </c>
      <c r="J395" s="173">
        <f t="shared" si="24"/>
        <v>424.23499999999996</v>
      </c>
    </row>
    <row r="396" spans="1:10" x14ac:dyDescent="0.25">
      <c r="A396" s="170" t="s">
        <v>661</v>
      </c>
      <c r="B396" s="171" t="s">
        <v>662</v>
      </c>
      <c r="C396" s="170" t="s">
        <v>1222</v>
      </c>
      <c r="D396" s="171" t="s">
        <v>1274</v>
      </c>
      <c r="E396" s="172" t="s">
        <v>452</v>
      </c>
      <c r="F396" s="170">
        <v>16600</v>
      </c>
      <c r="G396" s="173">
        <v>0.49</v>
      </c>
      <c r="H396" s="173">
        <f t="shared" si="26"/>
        <v>0.5635</v>
      </c>
      <c r="I396" s="173">
        <f t="shared" si="25"/>
        <v>9354.1</v>
      </c>
      <c r="J396" s="173">
        <f t="shared" si="24"/>
        <v>11131.379000000001</v>
      </c>
    </row>
    <row r="397" spans="1:10" x14ac:dyDescent="0.25">
      <c r="A397" s="170" t="s">
        <v>661</v>
      </c>
      <c r="B397" s="171" t="s">
        <v>662</v>
      </c>
      <c r="C397" s="170" t="s">
        <v>1222</v>
      </c>
      <c r="D397" s="171" t="s">
        <v>1275</v>
      </c>
      <c r="E397" s="172" t="s">
        <v>452</v>
      </c>
      <c r="F397" s="170">
        <v>8200</v>
      </c>
      <c r="G397" s="173">
        <v>0.34</v>
      </c>
      <c r="H397" s="173">
        <f t="shared" si="26"/>
        <v>0.39100000000000001</v>
      </c>
      <c r="I397" s="173">
        <f t="shared" si="25"/>
        <v>3206.2000000000003</v>
      </c>
      <c r="J397" s="173">
        <f t="shared" si="24"/>
        <v>3815.3780000000002</v>
      </c>
    </row>
    <row r="398" spans="1:10" x14ac:dyDescent="0.25">
      <c r="A398" s="170" t="s">
        <v>661</v>
      </c>
      <c r="B398" s="171" t="s">
        <v>662</v>
      </c>
      <c r="C398" s="170" t="s">
        <v>1222</v>
      </c>
      <c r="D398" s="171" t="s">
        <v>1276</v>
      </c>
      <c r="E398" s="172" t="s">
        <v>452</v>
      </c>
      <c r="F398" s="170">
        <v>2400</v>
      </c>
      <c r="G398" s="173">
        <v>5.4</v>
      </c>
      <c r="H398" s="173">
        <f t="shared" si="26"/>
        <v>6.21</v>
      </c>
      <c r="I398" s="173">
        <f t="shared" si="25"/>
        <v>14904</v>
      </c>
      <c r="J398" s="173">
        <f t="shared" si="24"/>
        <v>17735.759999999998</v>
      </c>
    </row>
    <row r="399" spans="1:10" x14ac:dyDescent="0.25">
      <c r="A399" s="170" t="s">
        <v>661</v>
      </c>
      <c r="B399" s="171" t="s">
        <v>662</v>
      </c>
      <c r="C399" s="170" t="s">
        <v>1222</v>
      </c>
      <c r="D399" s="171" t="s">
        <v>1277</v>
      </c>
      <c r="E399" s="172" t="s">
        <v>452</v>
      </c>
      <c r="F399" s="170">
        <v>800</v>
      </c>
      <c r="G399" s="173">
        <v>0.52</v>
      </c>
      <c r="H399" s="173">
        <f t="shared" si="26"/>
        <v>0.59799999999999998</v>
      </c>
      <c r="I399" s="173">
        <f t="shared" si="25"/>
        <v>478.4</v>
      </c>
      <c r="J399" s="173">
        <f t="shared" si="24"/>
        <v>569.29599999999994</v>
      </c>
    </row>
    <row r="400" spans="1:10" x14ac:dyDescent="0.25">
      <c r="A400" s="170" t="s">
        <v>661</v>
      </c>
      <c r="B400" s="171" t="s">
        <v>662</v>
      </c>
      <c r="C400" s="170" t="s">
        <v>1179</v>
      </c>
      <c r="D400" s="171" t="s">
        <v>1278</v>
      </c>
      <c r="E400" s="172" t="s">
        <v>452</v>
      </c>
      <c r="F400" s="170">
        <v>50</v>
      </c>
      <c r="G400" s="173">
        <v>10</v>
      </c>
      <c r="H400" s="173">
        <f t="shared" si="26"/>
        <v>11.5</v>
      </c>
      <c r="I400" s="173">
        <f t="shared" si="25"/>
        <v>575</v>
      </c>
      <c r="J400" s="173">
        <f t="shared" si="24"/>
        <v>684.25</v>
      </c>
    </row>
    <row r="401" spans="1:10" x14ac:dyDescent="0.25">
      <c r="A401" s="170" t="s">
        <v>661</v>
      </c>
      <c r="B401" s="171" t="s">
        <v>662</v>
      </c>
      <c r="C401" s="170" t="s">
        <v>1279</v>
      </c>
      <c r="D401" s="171" t="s">
        <v>720</v>
      </c>
      <c r="E401" s="172" t="s">
        <v>452</v>
      </c>
      <c r="F401" s="170">
        <v>5</v>
      </c>
      <c r="G401" s="173">
        <v>550</v>
      </c>
      <c r="H401" s="173">
        <f t="shared" si="26"/>
        <v>632.5</v>
      </c>
      <c r="I401" s="173">
        <f t="shared" si="25"/>
        <v>3162.5</v>
      </c>
      <c r="J401" s="173">
        <f t="shared" si="24"/>
        <v>3763.375</v>
      </c>
    </row>
    <row r="402" spans="1:10" ht="30" x14ac:dyDescent="0.25">
      <c r="A402" s="170" t="s">
        <v>661</v>
      </c>
      <c r="B402" s="171" t="s">
        <v>662</v>
      </c>
      <c r="C402" s="174" t="s">
        <v>1043</v>
      </c>
      <c r="D402" s="171" t="s">
        <v>694</v>
      </c>
      <c r="E402" s="172" t="s">
        <v>452</v>
      </c>
      <c r="F402" s="170">
        <v>40</v>
      </c>
      <c r="G402" s="173">
        <v>49</v>
      </c>
      <c r="H402" s="173">
        <f t="shared" si="26"/>
        <v>56.349999999999994</v>
      </c>
      <c r="I402" s="173">
        <f t="shared" si="25"/>
        <v>2254</v>
      </c>
      <c r="J402" s="173">
        <f t="shared" si="24"/>
        <v>2682.2599999999998</v>
      </c>
    </row>
    <row r="403" spans="1:10" x14ac:dyDescent="0.25">
      <c r="A403" s="170" t="s">
        <v>661</v>
      </c>
      <c r="B403" s="171" t="s">
        <v>662</v>
      </c>
      <c r="C403" s="170" t="s">
        <v>1236</v>
      </c>
      <c r="D403" s="171" t="s">
        <v>1280</v>
      </c>
      <c r="E403" s="172" t="s">
        <v>452</v>
      </c>
      <c r="F403" s="170">
        <v>400</v>
      </c>
      <c r="G403" s="173">
        <v>1.2</v>
      </c>
      <c r="H403" s="173">
        <f t="shared" si="26"/>
        <v>1.38</v>
      </c>
      <c r="I403" s="173">
        <f t="shared" si="25"/>
        <v>552</v>
      </c>
      <c r="J403" s="173">
        <f t="shared" si="24"/>
        <v>656.88</v>
      </c>
    </row>
    <row r="404" spans="1:10" x14ac:dyDescent="0.25">
      <c r="A404" s="170" t="s">
        <v>661</v>
      </c>
      <c r="B404" s="171" t="s">
        <v>662</v>
      </c>
      <c r="C404" s="170" t="s">
        <v>1236</v>
      </c>
      <c r="D404" s="171" t="s">
        <v>1281</v>
      </c>
      <c r="E404" s="172" t="s">
        <v>452</v>
      </c>
      <c r="F404" s="170">
        <v>400</v>
      </c>
      <c r="G404" s="173">
        <v>1.2</v>
      </c>
      <c r="H404" s="173">
        <f t="shared" si="26"/>
        <v>1.38</v>
      </c>
      <c r="I404" s="173">
        <f t="shared" si="25"/>
        <v>552</v>
      </c>
      <c r="J404" s="173">
        <f t="shared" si="24"/>
        <v>656.88</v>
      </c>
    </row>
    <row r="405" spans="1:10" x14ac:dyDescent="0.25">
      <c r="A405" s="170" t="s">
        <v>661</v>
      </c>
      <c r="B405" s="171" t="s">
        <v>662</v>
      </c>
      <c r="C405" s="170" t="s">
        <v>1236</v>
      </c>
      <c r="D405" s="171" t="s">
        <v>665</v>
      </c>
      <c r="E405" s="172" t="s">
        <v>452</v>
      </c>
      <c r="F405" s="170">
        <v>9800</v>
      </c>
      <c r="G405" s="173">
        <v>1.1000000000000001</v>
      </c>
      <c r="H405" s="173">
        <f t="shared" si="26"/>
        <v>1.2649999999999999</v>
      </c>
      <c r="I405" s="173">
        <f t="shared" si="25"/>
        <v>12396.999999999998</v>
      </c>
      <c r="J405" s="173">
        <f t="shared" si="24"/>
        <v>14752.429999999997</v>
      </c>
    </row>
    <row r="406" spans="1:10" ht="30" x14ac:dyDescent="0.25">
      <c r="A406" s="170" t="s">
        <v>661</v>
      </c>
      <c r="B406" s="171" t="s">
        <v>662</v>
      </c>
      <c r="C406" s="170" t="s">
        <v>1236</v>
      </c>
      <c r="D406" s="171" t="s">
        <v>1282</v>
      </c>
      <c r="E406" s="172" t="s">
        <v>452</v>
      </c>
      <c r="F406" s="170">
        <v>100</v>
      </c>
      <c r="G406" s="173">
        <v>23.4</v>
      </c>
      <c r="H406" s="173">
        <f t="shared" si="26"/>
        <v>26.909999999999997</v>
      </c>
      <c r="I406" s="173">
        <f t="shared" si="25"/>
        <v>2690.9999999999995</v>
      </c>
      <c r="J406" s="173">
        <f t="shared" ref="J406:J469" si="27">I406*1.19</f>
        <v>3202.2899999999995</v>
      </c>
    </row>
    <row r="407" spans="1:10" ht="30" x14ac:dyDescent="0.25">
      <c r="A407" s="170" t="s">
        <v>661</v>
      </c>
      <c r="B407" s="171" t="s">
        <v>662</v>
      </c>
      <c r="C407" s="170" t="s">
        <v>1236</v>
      </c>
      <c r="D407" s="171" t="s">
        <v>729</v>
      </c>
      <c r="E407" s="172" t="s">
        <v>452</v>
      </c>
      <c r="F407" s="170">
        <v>125</v>
      </c>
      <c r="G407" s="173">
        <v>23.4</v>
      </c>
      <c r="H407" s="173">
        <f t="shared" si="26"/>
        <v>26.909999999999997</v>
      </c>
      <c r="I407" s="173">
        <f t="shared" ref="I407:I470" si="28">H407*F407</f>
        <v>3363.7499999999995</v>
      </c>
      <c r="J407" s="173">
        <f t="shared" si="27"/>
        <v>4002.8624999999993</v>
      </c>
    </row>
    <row r="408" spans="1:10" x14ac:dyDescent="0.25">
      <c r="A408" s="170" t="s">
        <v>661</v>
      </c>
      <c r="B408" s="171" t="s">
        <v>662</v>
      </c>
      <c r="C408" s="170" t="s">
        <v>1236</v>
      </c>
      <c r="D408" s="171" t="s">
        <v>1283</v>
      </c>
      <c r="E408" s="172" t="s">
        <v>452</v>
      </c>
      <c r="F408" s="170">
        <v>200</v>
      </c>
      <c r="G408" s="173">
        <v>5.08</v>
      </c>
      <c r="H408" s="173">
        <f t="shared" si="26"/>
        <v>5.8419999999999996</v>
      </c>
      <c r="I408" s="173">
        <f t="shared" si="28"/>
        <v>1168.3999999999999</v>
      </c>
      <c r="J408" s="173">
        <f t="shared" si="27"/>
        <v>1390.3959999999997</v>
      </c>
    </row>
    <row r="409" spans="1:10" x14ac:dyDescent="0.25">
      <c r="A409" s="170" t="s">
        <v>661</v>
      </c>
      <c r="B409" s="171" t="s">
        <v>662</v>
      </c>
      <c r="C409" s="170" t="s">
        <v>1236</v>
      </c>
      <c r="D409" s="171" t="s">
        <v>1284</v>
      </c>
      <c r="E409" s="172" t="s">
        <v>452</v>
      </c>
      <c r="F409" s="170">
        <v>650</v>
      </c>
      <c r="G409" s="173">
        <v>5.08</v>
      </c>
      <c r="H409" s="173">
        <f t="shared" si="26"/>
        <v>5.8419999999999996</v>
      </c>
      <c r="I409" s="173">
        <f t="shared" si="28"/>
        <v>3797.2999999999997</v>
      </c>
      <c r="J409" s="173">
        <f t="shared" si="27"/>
        <v>4518.7869999999994</v>
      </c>
    </row>
    <row r="410" spans="1:10" x14ac:dyDescent="0.25">
      <c r="A410" s="170" t="s">
        <v>661</v>
      </c>
      <c r="B410" s="171" t="s">
        <v>662</v>
      </c>
      <c r="C410" s="170" t="s">
        <v>1236</v>
      </c>
      <c r="D410" s="171" t="s">
        <v>1285</v>
      </c>
      <c r="E410" s="172" t="s">
        <v>452</v>
      </c>
      <c r="F410" s="170">
        <v>550</v>
      </c>
      <c r="G410" s="173">
        <v>5.08</v>
      </c>
      <c r="H410" s="173">
        <f t="shared" si="26"/>
        <v>5.8419999999999996</v>
      </c>
      <c r="I410" s="173">
        <f t="shared" si="28"/>
        <v>3213.1</v>
      </c>
      <c r="J410" s="173">
        <f t="shared" si="27"/>
        <v>3823.5889999999999</v>
      </c>
    </row>
    <row r="411" spans="1:10" ht="30" x14ac:dyDescent="0.25">
      <c r="A411" s="170" t="s">
        <v>661</v>
      </c>
      <c r="B411" s="171" t="s">
        <v>662</v>
      </c>
      <c r="C411" s="170" t="s">
        <v>1236</v>
      </c>
      <c r="D411" s="171" t="s">
        <v>1286</v>
      </c>
      <c r="E411" s="172" t="s">
        <v>452</v>
      </c>
      <c r="F411" s="170">
        <v>25</v>
      </c>
      <c r="G411" s="173">
        <v>23.4</v>
      </c>
      <c r="H411" s="173">
        <f t="shared" si="26"/>
        <v>26.909999999999997</v>
      </c>
      <c r="I411" s="173">
        <f t="shared" si="28"/>
        <v>672.74999999999989</v>
      </c>
      <c r="J411" s="173">
        <f t="shared" si="27"/>
        <v>800.57249999999988</v>
      </c>
    </row>
    <row r="412" spans="1:10" x14ac:dyDescent="0.25">
      <c r="A412" s="170" t="s">
        <v>661</v>
      </c>
      <c r="B412" s="171" t="s">
        <v>662</v>
      </c>
      <c r="C412" s="170" t="s">
        <v>1236</v>
      </c>
      <c r="D412" s="171" t="s">
        <v>1241</v>
      </c>
      <c r="E412" s="172" t="s">
        <v>452</v>
      </c>
      <c r="F412" s="170">
        <v>200</v>
      </c>
      <c r="G412" s="173">
        <v>3.98</v>
      </c>
      <c r="H412" s="173">
        <f t="shared" si="26"/>
        <v>4.577</v>
      </c>
      <c r="I412" s="173">
        <f t="shared" si="28"/>
        <v>915.4</v>
      </c>
      <c r="J412" s="173">
        <f t="shared" si="27"/>
        <v>1089.326</v>
      </c>
    </row>
    <row r="413" spans="1:10" x14ac:dyDescent="0.25">
      <c r="A413" s="170" t="s">
        <v>661</v>
      </c>
      <c r="B413" s="171" t="s">
        <v>662</v>
      </c>
      <c r="C413" s="170" t="s">
        <v>1236</v>
      </c>
      <c r="D413" s="171" t="s">
        <v>1242</v>
      </c>
      <c r="E413" s="172" t="s">
        <v>452</v>
      </c>
      <c r="F413" s="170">
        <v>400</v>
      </c>
      <c r="G413" s="173">
        <v>3.98</v>
      </c>
      <c r="H413" s="173">
        <f t="shared" si="26"/>
        <v>4.577</v>
      </c>
      <c r="I413" s="173">
        <f t="shared" si="28"/>
        <v>1830.8</v>
      </c>
      <c r="J413" s="173">
        <f t="shared" si="27"/>
        <v>2178.652</v>
      </c>
    </row>
    <row r="414" spans="1:10" x14ac:dyDescent="0.25">
      <c r="A414" s="170" t="s">
        <v>661</v>
      </c>
      <c r="B414" s="171" t="s">
        <v>662</v>
      </c>
      <c r="C414" s="170" t="s">
        <v>1236</v>
      </c>
      <c r="D414" s="171" t="s">
        <v>1243</v>
      </c>
      <c r="E414" s="172" t="s">
        <v>452</v>
      </c>
      <c r="F414" s="170">
        <v>200</v>
      </c>
      <c r="G414" s="173">
        <v>3.98</v>
      </c>
      <c r="H414" s="173">
        <f t="shared" si="26"/>
        <v>4.577</v>
      </c>
      <c r="I414" s="173">
        <f t="shared" si="28"/>
        <v>915.4</v>
      </c>
      <c r="J414" s="173">
        <f t="shared" si="27"/>
        <v>1089.326</v>
      </c>
    </row>
    <row r="415" spans="1:10" x14ac:dyDescent="0.25">
      <c r="A415" s="170" t="s">
        <v>661</v>
      </c>
      <c r="B415" s="171" t="s">
        <v>662</v>
      </c>
      <c r="C415" s="170" t="s">
        <v>1236</v>
      </c>
      <c r="D415" s="171" t="s">
        <v>1244</v>
      </c>
      <c r="E415" s="172" t="s">
        <v>452</v>
      </c>
      <c r="F415" s="170">
        <v>100</v>
      </c>
      <c r="G415" s="173">
        <v>3.98</v>
      </c>
      <c r="H415" s="173">
        <f t="shared" si="26"/>
        <v>4.577</v>
      </c>
      <c r="I415" s="173">
        <f t="shared" si="28"/>
        <v>457.7</v>
      </c>
      <c r="J415" s="173">
        <f t="shared" si="27"/>
        <v>544.66300000000001</v>
      </c>
    </row>
    <row r="416" spans="1:10" x14ac:dyDescent="0.25">
      <c r="A416" s="170" t="s">
        <v>661</v>
      </c>
      <c r="B416" s="171" t="s">
        <v>662</v>
      </c>
      <c r="C416" s="170" t="s">
        <v>1236</v>
      </c>
      <c r="D416" s="171" t="s">
        <v>1287</v>
      </c>
      <c r="E416" s="172" t="s">
        <v>452</v>
      </c>
      <c r="F416" s="170">
        <v>50</v>
      </c>
      <c r="G416" s="173">
        <v>3.98</v>
      </c>
      <c r="H416" s="173">
        <f t="shared" si="26"/>
        <v>4.577</v>
      </c>
      <c r="I416" s="173">
        <f t="shared" si="28"/>
        <v>228.85</v>
      </c>
      <c r="J416" s="173">
        <f t="shared" si="27"/>
        <v>272.33150000000001</v>
      </c>
    </row>
    <row r="417" spans="1:10" x14ac:dyDescent="0.25">
      <c r="A417" s="170" t="s">
        <v>661</v>
      </c>
      <c r="B417" s="171" t="s">
        <v>662</v>
      </c>
      <c r="C417" s="170" t="s">
        <v>1141</v>
      </c>
      <c r="D417" s="171" t="s">
        <v>1288</v>
      </c>
      <c r="E417" s="172" t="s">
        <v>452</v>
      </c>
      <c r="F417" s="170">
        <v>3000</v>
      </c>
      <c r="G417" s="173">
        <v>0.33</v>
      </c>
      <c r="H417" s="173">
        <f t="shared" si="26"/>
        <v>0.3795</v>
      </c>
      <c r="I417" s="173">
        <f t="shared" si="28"/>
        <v>1138.5</v>
      </c>
      <c r="J417" s="173">
        <f t="shared" si="27"/>
        <v>1354.8149999999998</v>
      </c>
    </row>
    <row r="418" spans="1:10" ht="30" x14ac:dyDescent="0.25">
      <c r="A418" s="170" t="s">
        <v>661</v>
      </c>
      <c r="B418" s="171" t="s">
        <v>662</v>
      </c>
      <c r="C418" s="174" t="s">
        <v>1043</v>
      </c>
      <c r="D418" s="171" t="s">
        <v>1289</v>
      </c>
      <c r="E418" s="172" t="s">
        <v>452</v>
      </c>
      <c r="F418" s="170">
        <v>30</v>
      </c>
      <c r="G418" s="173">
        <v>126</v>
      </c>
      <c r="H418" s="173">
        <f t="shared" si="26"/>
        <v>144.89999999999998</v>
      </c>
      <c r="I418" s="173">
        <f t="shared" si="28"/>
        <v>4346.9999999999991</v>
      </c>
      <c r="J418" s="173">
        <f t="shared" si="27"/>
        <v>5172.9299999999985</v>
      </c>
    </row>
    <row r="419" spans="1:10" x14ac:dyDescent="0.25">
      <c r="A419" s="170" t="s">
        <v>661</v>
      </c>
      <c r="B419" s="171" t="s">
        <v>662</v>
      </c>
      <c r="C419" s="170" t="s">
        <v>1043</v>
      </c>
      <c r="D419" s="171" t="s">
        <v>685</v>
      </c>
      <c r="E419" s="172" t="s">
        <v>452</v>
      </c>
      <c r="F419" s="170">
        <v>50</v>
      </c>
      <c r="G419" s="173">
        <v>66</v>
      </c>
      <c r="H419" s="173">
        <f t="shared" si="26"/>
        <v>75.899999999999991</v>
      </c>
      <c r="I419" s="173">
        <f t="shared" si="28"/>
        <v>3794.9999999999995</v>
      </c>
      <c r="J419" s="173">
        <f t="shared" si="27"/>
        <v>4516.0499999999993</v>
      </c>
    </row>
    <row r="420" spans="1:10" ht="45" x14ac:dyDescent="0.25">
      <c r="A420" s="170" t="s">
        <v>661</v>
      </c>
      <c r="B420" s="171" t="s">
        <v>662</v>
      </c>
      <c r="C420" s="170" t="s">
        <v>1272</v>
      </c>
      <c r="D420" s="171" t="s">
        <v>1290</v>
      </c>
      <c r="E420" s="172" t="s">
        <v>452</v>
      </c>
      <c r="F420" s="170">
        <v>9000</v>
      </c>
      <c r="G420" s="173">
        <v>2.81</v>
      </c>
      <c r="H420" s="173">
        <f t="shared" si="26"/>
        <v>3.2314999999999996</v>
      </c>
      <c r="I420" s="173">
        <f t="shared" si="28"/>
        <v>29083.499999999996</v>
      </c>
      <c r="J420" s="173">
        <f t="shared" si="27"/>
        <v>34609.364999999991</v>
      </c>
    </row>
    <row r="421" spans="1:10" ht="30" x14ac:dyDescent="0.25">
      <c r="A421" s="170" t="s">
        <v>661</v>
      </c>
      <c r="B421" s="171" t="s">
        <v>662</v>
      </c>
      <c r="C421" s="170" t="s">
        <v>1272</v>
      </c>
      <c r="D421" s="171" t="s">
        <v>726</v>
      </c>
      <c r="E421" s="172" t="s">
        <v>452</v>
      </c>
      <c r="F421" s="170">
        <v>700</v>
      </c>
      <c r="G421" s="173">
        <v>37.6</v>
      </c>
      <c r="H421" s="173">
        <f t="shared" si="26"/>
        <v>43.239999999999995</v>
      </c>
      <c r="I421" s="173">
        <f t="shared" si="28"/>
        <v>30267.999999999996</v>
      </c>
      <c r="J421" s="173">
        <f t="shared" si="27"/>
        <v>36018.919999999991</v>
      </c>
    </row>
    <row r="422" spans="1:10" ht="30" x14ac:dyDescent="0.25">
      <c r="A422" s="170" t="s">
        <v>661</v>
      </c>
      <c r="B422" s="171" t="s">
        <v>662</v>
      </c>
      <c r="C422" s="170" t="s">
        <v>1272</v>
      </c>
      <c r="D422" s="171" t="s">
        <v>717</v>
      </c>
      <c r="E422" s="172" t="s">
        <v>452</v>
      </c>
      <c r="F422" s="170">
        <v>2400</v>
      </c>
      <c r="G422" s="173">
        <v>5.2</v>
      </c>
      <c r="H422" s="173">
        <f t="shared" si="26"/>
        <v>5.9799999999999995</v>
      </c>
      <c r="I422" s="173">
        <f t="shared" si="28"/>
        <v>14351.999999999998</v>
      </c>
      <c r="J422" s="173">
        <f t="shared" si="27"/>
        <v>17078.879999999997</v>
      </c>
    </row>
    <row r="423" spans="1:10" x14ac:dyDescent="0.25">
      <c r="A423" s="170" t="s">
        <v>661</v>
      </c>
      <c r="B423" s="171" t="s">
        <v>662</v>
      </c>
      <c r="C423" s="170" t="s">
        <v>1251</v>
      </c>
      <c r="D423" s="171" t="s">
        <v>1291</v>
      </c>
      <c r="E423" s="172" t="s">
        <v>452</v>
      </c>
      <c r="F423" s="170">
        <v>1800</v>
      </c>
      <c r="G423" s="173">
        <v>7.8</v>
      </c>
      <c r="H423" s="173">
        <f t="shared" si="26"/>
        <v>8.9699999999999989</v>
      </c>
      <c r="I423" s="173">
        <f t="shared" si="28"/>
        <v>16145.999999999998</v>
      </c>
      <c r="J423" s="173">
        <f t="shared" si="27"/>
        <v>19213.739999999998</v>
      </c>
    </row>
    <row r="424" spans="1:10" ht="30" x14ac:dyDescent="0.25">
      <c r="A424" s="170" t="s">
        <v>661</v>
      </c>
      <c r="B424" s="171" t="s">
        <v>662</v>
      </c>
      <c r="C424" s="170" t="s">
        <v>1043</v>
      </c>
      <c r="D424" s="171" t="s">
        <v>719</v>
      </c>
      <c r="E424" s="172" t="s">
        <v>452</v>
      </c>
      <c r="F424" s="170">
        <v>340</v>
      </c>
      <c r="G424" s="173">
        <v>47</v>
      </c>
      <c r="H424" s="173">
        <f t="shared" si="26"/>
        <v>54.05</v>
      </c>
      <c r="I424" s="173">
        <f t="shared" si="28"/>
        <v>18377</v>
      </c>
      <c r="J424" s="173">
        <f t="shared" si="27"/>
        <v>21868.629999999997</v>
      </c>
    </row>
    <row r="425" spans="1:10" ht="30" x14ac:dyDescent="0.25">
      <c r="A425" s="170" t="s">
        <v>661</v>
      </c>
      <c r="B425" s="171" t="s">
        <v>662</v>
      </c>
      <c r="C425" s="170" t="s">
        <v>1043</v>
      </c>
      <c r="D425" s="171" t="s">
        <v>719</v>
      </c>
      <c r="E425" s="172" t="s">
        <v>452</v>
      </c>
      <c r="F425" s="170">
        <v>200</v>
      </c>
      <c r="G425" s="173">
        <v>49</v>
      </c>
      <c r="H425" s="173">
        <f t="shared" si="26"/>
        <v>56.349999999999994</v>
      </c>
      <c r="I425" s="173">
        <f t="shared" si="28"/>
        <v>11269.999999999998</v>
      </c>
      <c r="J425" s="173">
        <f t="shared" si="27"/>
        <v>13411.299999999997</v>
      </c>
    </row>
    <row r="426" spans="1:10" x14ac:dyDescent="0.25">
      <c r="A426" s="170" t="s">
        <v>661</v>
      </c>
      <c r="B426" s="171" t="s">
        <v>662</v>
      </c>
      <c r="C426" s="174" t="s">
        <v>1292</v>
      </c>
      <c r="D426" s="171" t="s">
        <v>1293</v>
      </c>
      <c r="E426" s="172" t="s">
        <v>452</v>
      </c>
      <c r="F426" s="170">
        <v>8</v>
      </c>
      <c r="G426" s="173">
        <v>450</v>
      </c>
      <c r="H426" s="173">
        <f t="shared" si="26"/>
        <v>517.5</v>
      </c>
      <c r="I426" s="173">
        <f t="shared" si="28"/>
        <v>4140</v>
      </c>
      <c r="J426" s="173">
        <f t="shared" si="27"/>
        <v>4926.5999999999995</v>
      </c>
    </row>
    <row r="427" spans="1:10" x14ac:dyDescent="0.25">
      <c r="A427" s="170" t="s">
        <v>661</v>
      </c>
      <c r="B427" s="171" t="s">
        <v>662</v>
      </c>
      <c r="C427" s="170" t="s">
        <v>1162</v>
      </c>
      <c r="D427" s="171" t="s">
        <v>1294</v>
      </c>
      <c r="E427" s="172" t="s">
        <v>452</v>
      </c>
      <c r="F427" s="170">
        <v>45</v>
      </c>
      <c r="G427" s="173">
        <v>85</v>
      </c>
      <c r="H427" s="173">
        <f t="shared" si="26"/>
        <v>97.749999999999986</v>
      </c>
      <c r="I427" s="173">
        <f t="shared" si="28"/>
        <v>4398.7499999999991</v>
      </c>
      <c r="J427" s="173">
        <f t="shared" si="27"/>
        <v>5234.5124999999989</v>
      </c>
    </row>
    <row r="428" spans="1:10" x14ac:dyDescent="0.25">
      <c r="A428" s="170" t="s">
        <v>661</v>
      </c>
      <c r="B428" s="171" t="s">
        <v>662</v>
      </c>
      <c r="C428" s="174" t="s">
        <v>1292</v>
      </c>
      <c r="D428" s="171" t="s">
        <v>1295</v>
      </c>
      <c r="E428" s="172" t="s">
        <v>452</v>
      </c>
      <c r="F428" s="170">
        <v>44</v>
      </c>
      <c r="G428" s="173">
        <v>120</v>
      </c>
      <c r="H428" s="173">
        <f t="shared" si="26"/>
        <v>138</v>
      </c>
      <c r="I428" s="173">
        <f t="shared" si="28"/>
        <v>6072</v>
      </c>
      <c r="J428" s="173">
        <f t="shared" si="27"/>
        <v>7225.6799999999994</v>
      </c>
    </row>
    <row r="429" spans="1:10" ht="30" x14ac:dyDescent="0.25">
      <c r="A429" s="170" t="s">
        <v>661</v>
      </c>
      <c r="B429" s="171" t="s">
        <v>662</v>
      </c>
      <c r="C429" s="174" t="s">
        <v>1292</v>
      </c>
      <c r="D429" s="171" t="s">
        <v>1296</v>
      </c>
      <c r="E429" s="172" t="s">
        <v>452</v>
      </c>
      <c r="F429" s="170">
        <v>5</v>
      </c>
      <c r="G429" s="173">
        <v>3500</v>
      </c>
      <c r="H429" s="173">
        <f t="shared" si="26"/>
        <v>4024.9999999999995</v>
      </c>
      <c r="I429" s="173">
        <f t="shared" si="28"/>
        <v>20124.999999999996</v>
      </c>
      <c r="J429" s="173">
        <f t="shared" si="27"/>
        <v>23948.749999999996</v>
      </c>
    </row>
    <row r="430" spans="1:10" ht="30" x14ac:dyDescent="0.25">
      <c r="A430" s="170" t="s">
        <v>661</v>
      </c>
      <c r="B430" s="171" t="s">
        <v>662</v>
      </c>
      <c r="C430" s="174" t="s">
        <v>1292</v>
      </c>
      <c r="D430" s="171" t="s">
        <v>1297</v>
      </c>
      <c r="E430" s="172" t="s">
        <v>452</v>
      </c>
      <c r="F430" s="170">
        <v>3</v>
      </c>
      <c r="G430" s="173">
        <v>2090</v>
      </c>
      <c r="H430" s="173">
        <f t="shared" si="26"/>
        <v>2403.5</v>
      </c>
      <c r="I430" s="173">
        <f t="shared" si="28"/>
        <v>7210.5</v>
      </c>
      <c r="J430" s="173">
        <f t="shared" si="27"/>
        <v>8580.494999999999</v>
      </c>
    </row>
    <row r="431" spans="1:10" ht="30" x14ac:dyDescent="0.25">
      <c r="A431" s="170" t="s">
        <v>661</v>
      </c>
      <c r="B431" s="171" t="s">
        <v>662</v>
      </c>
      <c r="C431" s="174" t="s">
        <v>1292</v>
      </c>
      <c r="D431" s="171" t="s">
        <v>1298</v>
      </c>
      <c r="E431" s="172" t="s">
        <v>452</v>
      </c>
      <c r="F431" s="170">
        <v>9</v>
      </c>
      <c r="G431" s="173">
        <v>500</v>
      </c>
      <c r="H431" s="173">
        <f t="shared" si="26"/>
        <v>575</v>
      </c>
      <c r="I431" s="173">
        <f t="shared" si="28"/>
        <v>5175</v>
      </c>
      <c r="J431" s="173">
        <f t="shared" si="27"/>
        <v>6158.25</v>
      </c>
    </row>
    <row r="432" spans="1:10" ht="30" x14ac:dyDescent="0.25">
      <c r="A432" s="170" t="s">
        <v>661</v>
      </c>
      <c r="B432" s="171" t="s">
        <v>662</v>
      </c>
      <c r="C432" s="174" t="s">
        <v>1292</v>
      </c>
      <c r="D432" s="171" t="s">
        <v>1299</v>
      </c>
      <c r="E432" s="172" t="s">
        <v>452</v>
      </c>
      <c r="F432" s="170">
        <v>75</v>
      </c>
      <c r="G432" s="173">
        <v>65</v>
      </c>
      <c r="H432" s="173">
        <f t="shared" si="26"/>
        <v>74.75</v>
      </c>
      <c r="I432" s="173">
        <f t="shared" si="28"/>
        <v>5606.25</v>
      </c>
      <c r="J432" s="173">
        <f t="shared" si="27"/>
        <v>6671.4375</v>
      </c>
    </row>
    <row r="433" spans="1:10" ht="30" x14ac:dyDescent="0.25">
      <c r="A433" s="170" t="s">
        <v>661</v>
      </c>
      <c r="B433" s="171" t="s">
        <v>662</v>
      </c>
      <c r="C433" s="174" t="s">
        <v>1292</v>
      </c>
      <c r="D433" s="171" t="s">
        <v>1300</v>
      </c>
      <c r="E433" s="172" t="s">
        <v>452</v>
      </c>
      <c r="F433" s="170">
        <v>15</v>
      </c>
      <c r="G433" s="173">
        <v>330</v>
      </c>
      <c r="H433" s="173">
        <f t="shared" si="26"/>
        <v>379.49999999999994</v>
      </c>
      <c r="I433" s="173">
        <f t="shared" si="28"/>
        <v>5692.4999999999991</v>
      </c>
      <c r="J433" s="173">
        <f t="shared" si="27"/>
        <v>6774.0749999999989</v>
      </c>
    </row>
    <row r="434" spans="1:10" ht="30" x14ac:dyDescent="0.25">
      <c r="A434" s="170" t="s">
        <v>661</v>
      </c>
      <c r="B434" s="171" t="s">
        <v>662</v>
      </c>
      <c r="C434" s="174" t="s">
        <v>1292</v>
      </c>
      <c r="D434" s="171" t="s">
        <v>1301</v>
      </c>
      <c r="E434" s="172" t="s">
        <v>452</v>
      </c>
      <c r="F434" s="170">
        <v>143</v>
      </c>
      <c r="G434" s="173">
        <v>210</v>
      </c>
      <c r="H434" s="173">
        <f t="shared" si="26"/>
        <v>241.49999999999997</v>
      </c>
      <c r="I434" s="173">
        <f t="shared" si="28"/>
        <v>34534.499999999993</v>
      </c>
      <c r="J434" s="173">
        <f t="shared" si="27"/>
        <v>41096.054999999993</v>
      </c>
    </row>
    <row r="435" spans="1:10" ht="30" x14ac:dyDescent="0.25">
      <c r="A435" s="170" t="s">
        <v>661</v>
      </c>
      <c r="B435" s="171" t="s">
        <v>662</v>
      </c>
      <c r="C435" s="174" t="s">
        <v>1292</v>
      </c>
      <c r="D435" s="171" t="s">
        <v>1302</v>
      </c>
      <c r="E435" s="172" t="s">
        <v>452</v>
      </c>
      <c r="F435" s="170">
        <v>2</v>
      </c>
      <c r="G435" s="173">
        <v>2700</v>
      </c>
      <c r="H435" s="173">
        <f t="shared" si="26"/>
        <v>3104.9999999999995</v>
      </c>
      <c r="I435" s="173">
        <f t="shared" si="28"/>
        <v>6209.9999999999991</v>
      </c>
      <c r="J435" s="173">
        <f t="shared" si="27"/>
        <v>7389.8999999999987</v>
      </c>
    </row>
    <row r="436" spans="1:10" ht="30" x14ac:dyDescent="0.25">
      <c r="A436" s="170" t="s">
        <v>661</v>
      </c>
      <c r="B436" s="171" t="s">
        <v>662</v>
      </c>
      <c r="C436" s="174" t="s">
        <v>1292</v>
      </c>
      <c r="D436" s="171" t="s">
        <v>1303</v>
      </c>
      <c r="E436" s="172" t="s">
        <v>452</v>
      </c>
      <c r="F436" s="170">
        <v>23</v>
      </c>
      <c r="G436" s="173">
        <v>2300</v>
      </c>
      <c r="H436" s="173">
        <f t="shared" si="26"/>
        <v>2645</v>
      </c>
      <c r="I436" s="173">
        <f t="shared" si="28"/>
        <v>60835</v>
      </c>
      <c r="J436" s="173">
        <f t="shared" si="27"/>
        <v>72393.649999999994</v>
      </c>
    </row>
    <row r="437" spans="1:10" ht="45" x14ac:dyDescent="0.25">
      <c r="A437" s="170" t="s">
        <v>661</v>
      </c>
      <c r="B437" s="171" t="s">
        <v>662</v>
      </c>
      <c r="C437" s="174" t="s">
        <v>1292</v>
      </c>
      <c r="D437" s="171" t="s">
        <v>1304</v>
      </c>
      <c r="E437" s="172" t="s">
        <v>452</v>
      </c>
      <c r="F437" s="170">
        <v>4</v>
      </c>
      <c r="G437" s="173">
        <v>1250</v>
      </c>
      <c r="H437" s="173">
        <f t="shared" si="26"/>
        <v>1437.5</v>
      </c>
      <c r="I437" s="173">
        <f t="shared" si="28"/>
        <v>5750</v>
      </c>
      <c r="J437" s="173">
        <f t="shared" si="27"/>
        <v>6842.5</v>
      </c>
    </row>
    <row r="438" spans="1:10" ht="45" x14ac:dyDescent="0.25">
      <c r="A438" s="170" t="s">
        <v>661</v>
      </c>
      <c r="B438" s="171" t="s">
        <v>662</v>
      </c>
      <c r="C438" s="174" t="s">
        <v>1292</v>
      </c>
      <c r="D438" s="171" t="s">
        <v>1305</v>
      </c>
      <c r="E438" s="172" t="s">
        <v>452</v>
      </c>
      <c r="F438" s="170">
        <v>12</v>
      </c>
      <c r="G438" s="173">
        <v>1250</v>
      </c>
      <c r="H438" s="173">
        <f t="shared" si="26"/>
        <v>1437.5</v>
      </c>
      <c r="I438" s="173">
        <f t="shared" si="28"/>
        <v>17250</v>
      </c>
      <c r="J438" s="173">
        <f t="shared" si="27"/>
        <v>20527.5</v>
      </c>
    </row>
    <row r="439" spans="1:10" x14ac:dyDescent="0.25">
      <c r="A439" s="170" t="s">
        <v>661</v>
      </c>
      <c r="B439" s="171" t="s">
        <v>662</v>
      </c>
      <c r="C439" s="174" t="s">
        <v>1292</v>
      </c>
      <c r="D439" s="171" t="s">
        <v>1306</v>
      </c>
      <c r="E439" s="172" t="s">
        <v>452</v>
      </c>
      <c r="F439" s="170">
        <v>227</v>
      </c>
      <c r="G439" s="173">
        <v>120</v>
      </c>
      <c r="H439" s="173">
        <f t="shared" si="26"/>
        <v>138</v>
      </c>
      <c r="I439" s="173">
        <f t="shared" si="28"/>
        <v>31326</v>
      </c>
      <c r="J439" s="173">
        <f t="shared" si="27"/>
        <v>37277.939999999995</v>
      </c>
    </row>
    <row r="440" spans="1:10" x14ac:dyDescent="0.25">
      <c r="A440" s="170" t="s">
        <v>661</v>
      </c>
      <c r="B440" s="171" t="s">
        <v>662</v>
      </c>
      <c r="C440" s="174" t="s">
        <v>1292</v>
      </c>
      <c r="D440" s="171" t="s">
        <v>1307</v>
      </c>
      <c r="E440" s="172" t="s">
        <v>452</v>
      </c>
      <c r="F440" s="170">
        <v>3</v>
      </c>
      <c r="G440" s="173">
        <v>170</v>
      </c>
      <c r="H440" s="173">
        <f t="shared" si="26"/>
        <v>195.49999999999997</v>
      </c>
      <c r="I440" s="173">
        <f t="shared" si="28"/>
        <v>586.49999999999989</v>
      </c>
      <c r="J440" s="173">
        <f t="shared" si="27"/>
        <v>697.93499999999983</v>
      </c>
    </row>
    <row r="441" spans="1:10" ht="30" x14ac:dyDescent="0.25">
      <c r="A441" s="170" t="s">
        <v>661</v>
      </c>
      <c r="B441" s="171" t="s">
        <v>662</v>
      </c>
      <c r="C441" s="174" t="s">
        <v>1292</v>
      </c>
      <c r="D441" s="171" t="s">
        <v>1308</v>
      </c>
      <c r="E441" s="172" t="s">
        <v>452</v>
      </c>
      <c r="F441" s="170">
        <v>2</v>
      </c>
      <c r="G441" s="173">
        <v>2500</v>
      </c>
      <c r="H441" s="173">
        <f t="shared" si="26"/>
        <v>2875</v>
      </c>
      <c r="I441" s="173">
        <f t="shared" si="28"/>
        <v>5750</v>
      </c>
      <c r="J441" s="173">
        <f t="shared" si="27"/>
        <v>6842.5</v>
      </c>
    </row>
    <row r="442" spans="1:10" ht="30" x14ac:dyDescent="0.25">
      <c r="A442" s="170" t="s">
        <v>661</v>
      </c>
      <c r="B442" s="171" t="s">
        <v>662</v>
      </c>
      <c r="C442" s="174" t="s">
        <v>1292</v>
      </c>
      <c r="D442" s="171" t="s">
        <v>1309</v>
      </c>
      <c r="E442" s="172" t="s">
        <v>452</v>
      </c>
      <c r="F442" s="170">
        <v>2</v>
      </c>
      <c r="G442" s="173">
        <v>2500</v>
      </c>
      <c r="H442" s="173">
        <f t="shared" si="26"/>
        <v>2875</v>
      </c>
      <c r="I442" s="173">
        <f t="shared" si="28"/>
        <v>5750</v>
      </c>
      <c r="J442" s="173">
        <f t="shared" si="27"/>
        <v>6842.5</v>
      </c>
    </row>
    <row r="443" spans="1:10" ht="45" x14ac:dyDescent="0.25">
      <c r="A443" s="170" t="s">
        <v>661</v>
      </c>
      <c r="B443" s="171" t="s">
        <v>662</v>
      </c>
      <c r="C443" s="174" t="s">
        <v>1292</v>
      </c>
      <c r="D443" s="171" t="s">
        <v>1310</v>
      </c>
      <c r="E443" s="172" t="s">
        <v>452</v>
      </c>
      <c r="F443" s="170">
        <v>4</v>
      </c>
      <c r="G443" s="173">
        <v>800</v>
      </c>
      <c r="H443" s="173">
        <f t="shared" si="26"/>
        <v>919.99999999999989</v>
      </c>
      <c r="I443" s="173">
        <f t="shared" si="28"/>
        <v>3679.9999999999995</v>
      </c>
      <c r="J443" s="173">
        <f t="shared" si="27"/>
        <v>4379.1999999999989</v>
      </c>
    </row>
    <row r="444" spans="1:10" ht="30" x14ac:dyDescent="0.25">
      <c r="A444" s="170" t="s">
        <v>661</v>
      </c>
      <c r="B444" s="171" t="s">
        <v>662</v>
      </c>
      <c r="C444" s="174" t="s">
        <v>1292</v>
      </c>
      <c r="D444" s="171" t="s">
        <v>1311</v>
      </c>
      <c r="E444" s="172" t="s">
        <v>452</v>
      </c>
      <c r="F444" s="170">
        <v>35</v>
      </c>
      <c r="G444" s="173">
        <v>3250</v>
      </c>
      <c r="H444" s="173">
        <f t="shared" si="26"/>
        <v>3737.4999999999995</v>
      </c>
      <c r="I444" s="173">
        <f t="shared" si="28"/>
        <v>130812.49999999999</v>
      </c>
      <c r="J444" s="173">
        <f t="shared" si="27"/>
        <v>155666.87499999997</v>
      </c>
    </row>
    <row r="445" spans="1:10" ht="30" x14ac:dyDescent="0.25">
      <c r="A445" s="170" t="s">
        <v>661</v>
      </c>
      <c r="B445" s="171" t="s">
        <v>662</v>
      </c>
      <c r="C445" s="174" t="s">
        <v>1292</v>
      </c>
      <c r="D445" s="171" t="s">
        <v>1312</v>
      </c>
      <c r="E445" s="172" t="s">
        <v>452</v>
      </c>
      <c r="F445" s="170">
        <v>4</v>
      </c>
      <c r="G445" s="173">
        <v>2000</v>
      </c>
      <c r="H445" s="173">
        <f t="shared" si="26"/>
        <v>2300</v>
      </c>
      <c r="I445" s="173">
        <f t="shared" si="28"/>
        <v>9200</v>
      </c>
      <c r="J445" s="173">
        <f t="shared" si="27"/>
        <v>10948</v>
      </c>
    </row>
    <row r="446" spans="1:10" ht="30" x14ac:dyDescent="0.25">
      <c r="A446" s="170" t="s">
        <v>661</v>
      </c>
      <c r="B446" s="171" t="s">
        <v>662</v>
      </c>
      <c r="C446" s="174" t="s">
        <v>1292</v>
      </c>
      <c r="D446" s="171" t="s">
        <v>1313</v>
      </c>
      <c r="E446" s="172" t="s">
        <v>452</v>
      </c>
      <c r="F446" s="170">
        <v>1</v>
      </c>
      <c r="G446" s="173">
        <v>9800</v>
      </c>
      <c r="H446" s="173">
        <f t="shared" si="26"/>
        <v>11270</v>
      </c>
      <c r="I446" s="173">
        <f t="shared" si="28"/>
        <v>11270</v>
      </c>
      <c r="J446" s="173">
        <f t="shared" si="27"/>
        <v>13411.3</v>
      </c>
    </row>
    <row r="447" spans="1:10" ht="30" x14ac:dyDescent="0.25">
      <c r="A447" s="170" t="s">
        <v>661</v>
      </c>
      <c r="B447" s="171" t="s">
        <v>662</v>
      </c>
      <c r="C447" s="174" t="s">
        <v>1292</v>
      </c>
      <c r="D447" s="171" t="s">
        <v>1314</v>
      </c>
      <c r="E447" s="172" t="s">
        <v>452</v>
      </c>
      <c r="F447" s="170">
        <v>1</v>
      </c>
      <c r="G447" s="173">
        <v>9800</v>
      </c>
      <c r="H447" s="173">
        <f t="shared" si="26"/>
        <v>11270</v>
      </c>
      <c r="I447" s="173">
        <f t="shared" si="28"/>
        <v>11270</v>
      </c>
      <c r="J447" s="173">
        <f t="shared" si="27"/>
        <v>13411.3</v>
      </c>
    </row>
    <row r="448" spans="1:10" ht="30" x14ac:dyDescent="0.25">
      <c r="A448" s="170" t="s">
        <v>661</v>
      </c>
      <c r="B448" s="171" t="s">
        <v>662</v>
      </c>
      <c r="C448" s="174" t="s">
        <v>1292</v>
      </c>
      <c r="D448" s="171" t="s">
        <v>1315</v>
      </c>
      <c r="E448" s="172" t="s">
        <v>452</v>
      </c>
      <c r="F448" s="170">
        <v>50</v>
      </c>
      <c r="G448" s="173">
        <v>60</v>
      </c>
      <c r="H448" s="173">
        <f t="shared" si="26"/>
        <v>69</v>
      </c>
      <c r="I448" s="173">
        <f t="shared" si="28"/>
        <v>3450</v>
      </c>
      <c r="J448" s="173">
        <f t="shared" si="27"/>
        <v>4105.5</v>
      </c>
    </row>
    <row r="449" spans="1:10" ht="30" x14ac:dyDescent="0.25">
      <c r="A449" s="170" t="s">
        <v>661</v>
      </c>
      <c r="B449" s="171" t="s">
        <v>662</v>
      </c>
      <c r="C449" s="174" t="s">
        <v>1292</v>
      </c>
      <c r="D449" s="171" t="s">
        <v>1316</v>
      </c>
      <c r="E449" s="172" t="s">
        <v>452</v>
      </c>
      <c r="F449" s="170">
        <v>44</v>
      </c>
      <c r="G449" s="173">
        <v>60</v>
      </c>
      <c r="H449" s="173">
        <f t="shared" si="26"/>
        <v>69</v>
      </c>
      <c r="I449" s="173">
        <f t="shared" si="28"/>
        <v>3036</v>
      </c>
      <c r="J449" s="173">
        <f t="shared" si="27"/>
        <v>3612.8399999999997</v>
      </c>
    </row>
    <row r="450" spans="1:10" x14ac:dyDescent="0.25">
      <c r="A450" s="170" t="s">
        <v>661</v>
      </c>
      <c r="B450" s="171" t="s">
        <v>662</v>
      </c>
      <c r="C450" s="174" t="s">
        <v>1292</v>
      </c>
      <c r="D450" s="171" t="s">
        <v>1317</v>
      </c>
      <c r="E450" s="172" t="s">
        <v>452</v>
      </c>
      <c r="F450" s="170">
        <v>3</v>
      </c>
      <c r="G450" s="173">
        <v>1700</v>
      </c>
      <c r="H450" s="173">
        <f t="shared" si="26"/>
        <v>1954.9999999999998</v>
      </c>
      <c r="I450" s="173">
        <f t="shared" si="28"/>
        <v>5864.9999999999991</v>
      </c>
      <c r="J450" s="173">
        <f t="shared" si="27"/>
        <v>6979.3499999999985</v>
      </c>
    </row>
    <row r="451" spans="1:10" x14ac:dyDescent="0.25">
      <c r="A451" s="170" t="s">
        <v>661</v>
      </c>
      <c r="B451" s="171" t="s">
        <v>662</v>
      </c>
      <c r="C451" s="174" t="s">
        <v>1292</v>
      </c>
      <c r="D451" s="171" t="s">
        <v>1317</v>
      </c>
      <c r="E451" s="172" t="s">
        <v>452</v>
      </c>
      <c r="F451" s="170">
        <v>2</v>
      </c>
      <c r="G451" s="173">
        <v>1700</v>
      </c>
      <c r="H451" s="173">
        <f t="shared" ref="H451:H514" si="29">G451*1.15</f>
        <v>1954.9999999999998</v>
      </c>
      <c r="I451" s="173">
        <f t="shared" si="28"/>
        <v>3909.9999999999995</v>
      </c>
      <c r="J451" s="173">
        <f t="shared" si="27"/>
        <v>4652.8999999999996</v>
      </c>
    </row>
    <row r="452" spans="1:10" x14ac:dyDescent="0.25">
      <c r="A452" s="170" t="s">
        <v>661</v>
      </c>
      <c r="B452" s="171" t="s">
        <v>662</v>
      </c>
      <c r="C452" s="170" t="s">
        <v>1318</v>
      </c>
      <c r="D452" s="171" t="s">
        <v>1319</v>
      </c>
      <c r="E452" s="172" t="s">
        <v>452</v>
      </c>
      <c r="F452" s="170">
        <v>4</v>
      </c>
      <c r="G452" s="173">
        <v>3100</v>
      </c>
      <c r="H452" s="173">
        <f t="shared" si="29"/>
        <v>3564.9999999999995</v>
      </c>
      <c r="I452" s="173">
        <f t="shared" si="28"/>
        <v>14259.999999999998</v>
      </c>
      <c r="J452" s="173">
        <f t="shared" si="27"/>
        <v>16969.399999999998</v>
      </c>
    </row>
    <row r="453" spans="1:10" x14ac:dyDescent="0.25">
      <c r="A453" s="170" t="s">
        <v>661</v>
      </c>
      <c r="B453" s="171" t="s">
        <v>662</v>
      </c>
      <c r="C453" s="170" t="s">
        <v>1318</v>
      </c>
      <c r="D453" s="171" t="s">
        <v>1319</v>
      </c>
      <c r="E453" s="172" t="s">
        <v>452</v>
      </c>
      <c r="F453" s="170">
        <v>1</v>
      </c>
      <c r="G453" s="173">
        <v>3500</v>
      </c>
      <c r="H453" s="173">
        <f t="shared" si="29"/>
        <v>4024.9999999999995</v>
      </c>
      <c r="I453" s="173">
        <f t="shared" si="28"/>
        <v>4024.9999999999995</v>
      </c>
      <c r="J453" s="173">
        <f t="shared" si="27"/>
        <v>4789.7499999999991</v>
      </c>
    </row>
    <row r="454" spans="1:10" x14ac:dyDescent="0.25">
      <c r="A454" s="170" t="s">
        <v>661</v>
      </c>
      <c r="B454" s="171" t="s">
        <v>662</v>
      </c>
      <c r="C454" s="170" t="s">
        <v>1318</v>
      </c>
      <c r="D454" s="171" t="s">
        <v>1293</v>
      </c>
      <c r="E454" s="172" t="s">
        <v>452</v>
      </c>
      <c r="F454" s="170">
        <v>38</v>
      </c>
      <c r="G454" s="173">
        <v>450</v>
      </c>
      <c r="H454" s="173">
        <f t="shared" si="29"/>
        <v>517.5</v>
      </c>
      <c r="I454" s="173">
        <f t="shared" si="28"/>
        <v>19665</v>
      </c>
      <c r="J454" s="173">
        <f t="shared" si="27"/>
        <v>23401.35</v>
      </c>
    </row>
    <row r="455" spans="1:10" ht="30" x14ac:dyDescent="0.25">
      <c r="A455" s="170" t="s">
        <v>661</v>
      </c>
      <c r="B455" s="171" t="s">
        <v>662</v>
      </c>
      <c r="C455" s="174" t="s">
        <v>1292</v>
      </c>
      <c r="D455" s="171" t="s">
        <v>1320</v>
      </c>
      <c r="E455" s="172" t="s">
        <v>452</v>
      </c>
      <c r="F455" s="170">
        <v>5</v>
      </c>
      <c r="G455" s="173">
        <v>2000</v>
      </c>
      <c r="H455" s="173">
        <f t="shared" si="29"/>
        <v>2300</v>
      </c>
      <c r="I455" s="173">
        <f t="shared" si="28"/>
        <v>11500</v>
      </c>
      <c r="J455" s="173">
        <f t="shared" si="27"/>
        <v>13685</v>
      </c>
    </row>
    <row r="456" spans="1:10" x14ac:dyDescent="0.25">
      <c r="A456" s="170" t="s">
        <v>661</v>
      </c>
      <c r="B456" s="171" t="s">
        <v>662</v>
      </c>
      <c r="C456" s="174" t="s">
        <v>1292</v>
      </c>
      <c r="D456" s="171" t="s">
        <v>1321</v>
      </c>
      <c r="E456" s="172" t="s">
        <v>452</v>
      </c>
      <c r="F456" s="170">
        <v>112</v>
      </c>
      <c r="G456" s="173">
        <v>3200</v>
      </c>
      <c r="H456" s="173">
        <f t="shared" si="29"/>
        <v>3679.9999999999995</v>
      </c>
      <c r="I456" s="173">
        <f t="shared" si="28"/>
        <v>412159.99999999994</v>
      </c>
      <c r="J456" s="173">
        <f t="shared" si="27"/>
        <v>490470.39999999991</v>
      </c>
    </row>
    <row r="457" spans="1:10" x14ac:dyDescent="0.25">
      <c r="A457" s="170" t="s">
        <v>661</v>
      </c>
      <c r="B457" s="171" t="s">
        <v>662</v>
      </c>
      <c r="C457" s="174" t="s">
        <v>1292</v>
      </c>
      <c r="D457" s="171" t="s">
        <v>1322</v>
      </c>
      <c r="E457" s="172" t="s">
        <v>452</v>
      </c>
      <c r="F457" s="170">
        <v>30</v>
      </c>
      <c r="G457" s="173">
        <v>120</v>
      </c>
      <c r="H457" s="173">
        <f t="shared" si="29"/>
        <v>138</v>
      </c>
      <c r="I457" s="173">
        <f t="shared" si="28"/>
        <v>4140</v>
      </c>
      <c r="J457" s="173">
        <f t="shared" si="27"/>
        <v>4926.5999999999995</v>
      </c>
    </row>
    <row r="458" spans="1:10" x14ac:dyDescent="0.25">
      <c r="A458" s="170" t="s">
        <v>661</v>
      </c>
      <c r="B458" s="171" t="s">
        <v>662</v>
      </c>
      <c r="C458" s="174" t="s">
        <v>1292</v>
      </c>
      <c r="D458" s="171" t="s">
        <v>1163</v>
      </c>
      <c r="E458" s="172" t="s">
        <v>452</v>
      </c>
      <c r="F458" s="170">
        <v>150</v>
      </c>
      <c r="G458" s="173">
        <v>85</v>
      </c>
      <c r="H458" s="173">
        <f t="shared" si="29"/>
        <v>97.749999999999986</v>
      </c>
      <c r="I458" s="173">
        <f t="shared" si="28"/>
        <v>14662.499999999998</v>
      </c>
      <c r="J458" s="173">
        <f t="shared" si="27"/>
        <v>17448.374999999996</v>
      </c>
    </row>
    <row r="459" spans="1:10" ht="30" x14ac:dyDescent="0.25">
      <c r="A459" s="170" t="s">
        <v>661</v>
      </c>
      <c r="B459" s="171" t="s">
        <v>662</v>
      </c>
      <c r="C459" s="174" t="s">
        <v>1292</v>
      </c>
      <c r="D459" s="171" t="s">
        <v>1323</v>
      </c>
      <c r="E459" s="172" t="s">
        <v>452</v>
      </c>
      <c r="F459" s="170">
        <v>15</v>
      </c>
      <c r="G459" s="173">
        <v>185</v>
      </c>
      <c r="H459" s="173">
        <f t="shared" si="29"/>
        <v>212.74999999999997</v>
      </c>
      <c r="I459" s="173">
        <f t="shared" si="28"/>
        <v>3191.2499999999995</v>
      </c>
      <c r="J459" s="173">
        <f t="shared" si="27"/>
        <v>3797.5874999999992</v>
      </c>
    </row>
    <row r="460" spans="1:10" ht="45" x14ac:dyDescent="0.25">
      <c r="A460" s="170" t="s">
        <v>661</v>
      </c>
      <c r="B460" s="171" t="s">
        <v>662</v>
      </c>
      <c r="C460" s="174" t="s">
        <v>1292</v>
      </c>
      <c r="D460" s="171" t="s">
        <v>1324</v>
      </c>
      <c r="E460" s="172" t="s">
        <v>452</v>
      </c>
      <c r="F460" s="170">
        <v>5</v>
      </c>
      <c r="G460" s="173">
        <v>3500</v>
      </c>
      <c r="H460" s="173">
        <f t="shared" si="29"/>
        <v>4024.9999999999995</v>
      </c>
      <c r="I460" s="173">
        <f t="shared" si="28"/>
        <v>20124.999999999996</v>
      </c>
      <c r="J460" s="173">
        <f t="shared" si="27"/>
        <v>23948.749999999996</v>
      </c>
    </row>
    <row r="461" spans="1:10" ht="30" x14ac:dyDescent="0.25">
      <c r="A461" s="170" t="s">
        <v>661</v>
      </c>
      <c r="B461" s="171" t="s">
        <v>662</v>
      </c>
      <c r="C461" s="170" t="s">
        <v>1318</v>
      </c>
      <c r="D461" s="171" t="s">
        <v>1325</v>
      </c>
      <c r="E461" s="172" t="s">
        <v>452</v>
      </c>
      <c r="F461" s="170">
        <v>10</v>
      </c>
      <c r="G461" s="173">
        <v>12500</v>
      </c>
      <c r="H461" s="173">
        <f t="shared" si="29"/>
        <v>14374.999999999998</v>
      </c>
      <c r="I461" s="173">
        <f t="shared" si="28"/>
        <v>143749.99999999997</v>
      </c>
      <c r="J461" s="173">
        <f t="shared" si="27"/>
        <v>171062.49999999997</v>
      </c>
    </row>
    <row r="462" spans="1:10" ht="30" x14ac:dyDescent="0.25">
      <c r="A462" s="170" t="s">
        <v>661</v>
      </c>
      <c r="B462" s="171" t="s">
        <v>662</v>
      </c>
      <c r="C462" s="174" t="s">
        <v>1292</v>
      </c>
      <c r="D462" s="171" t="s">
        <v>1326</v>
      </c>
      <c r="E462" s="172" t="s">
        <v>452</v>
      </c>
      <c r="F462" s="170">
        <v>40</v>
      </c>
      <c r="G462" s="173">
        <v>500</v>
      </c>
      <c r="H462" s="173">
        <f t="shared" si="29"/>
        <v>575</v>
      </c>
      <c r="I462" s="173">
        <f t="shared" si="28"/>
        <v>23000</v>
      </c>
      <c r="J462" s="173">
        <f t="shared" si="27"/>
        <v>27370</v>
      </c>
    </row>
    <row r="463" spans="1:10" x14ac:dyDescent="0.25">
      <c r="A463" s="170" t="s">
        <v>661</v>
      </c>
      <c r="B463" s="171" t="s">
        <v>662</v>
      </c>
      <c r="C463" s="174" t="s">
        <v>1292</v>
      </c>
      <c r="D463" s="171" t="s">
        <v>1327</v>
      </c>
      <c r="E463" s="172" t="s">
        <v>519</v>
      </c>
      <c r="F463" s="170">
        <v>3</v>
      </c>
      <c r="G463" s="173">
        <v>1700</v>
      </c>
      <c r="H463" s="173">
        <f t="shared" si="29"/>
        <v>1954.9999999999998</v>
      </c>
      <c r="I463" s="173">
        <f t="shared" si="28"/>
        <v>5864.9999999999991</v>
      </c>
      <c r="J463" s="173">
        <f t="shared" si="27"/>
        <v>6979.3499999999985</v>
      </c>
    </row>
    <row r="464" spans="1:10" x14ac:dyDescent="0.25">
      <c r="A464" s="170" t="s">
        <v>661</v>
      </c>
      <c r="B464" s="171" t="s">
        <v>662</v>
      </c>
      <c r="C464" s="174" t="s">
        <v>1292</v>
      </c>
      <c r="D464" s="171" t="s">
        <v>1328</v>
      </c>
      <c r="E464" s="172" t="s">
        <v>452</v>
      </c>
      <c r="F464" s="170">
        <v>10</v>
      </c>
      <c r="G464" s="173">
        <v>65</v>
      </c>
      <c r="H464" s="173">
        <f t="shared" si="29"/>
        <v>74.75</v>
      </c>
      <c r="I464" s="173">
        <f t="shared" si="28"/>
        <v>747.5</v>
      </c>
      <c r="J464" s="173">
        <f t="shared" si="27"/>
        <v>889.52499999999998</v>
      </c>
    </row>
    <row r="465" spans="1:10" ht="30" x14ac:dyDescent="0.25">
      <c r="A465" s="170" t="s">
        <v>661</v>
      </c>
      <c r="B465" s="171" t="s">
        <v>662</v>
      </c>
      <c r="C465" s="174" t="s">
        <v>1292</v>
      </c>
      <c r="D465" s="171" t="s">
        <v>1329</v>
      </c>
      <c r="E465" s="172" t="s">
        <v>452</v>
      </c>
      <c r="F465" s="170">
        <v>140</v>
      </c>
      <c r="G465" s="173">
        <v>65</v>
      </c>
      <c r="H465" s="173">
        <f t="shared" si="29"/>
        <v>74.75</v>
      </c>
      <c r="I465" s="173">
        <f t="shared" si="28"/>
        <v>10465</v>
      </c>
      <c r="J465" s="173">
        <f t="shared" si="27"/>
        <v>12453.349999999999</v>
      </c>
    </row>
    <row r="466" spans="1:10" ht="30" x14ac:dyDescent="0.25">
      <c r="A466" s="170" t="s">
        <v>661</v>
      </c>
      <c r="B466" s="171" t="s">
        <v>662</v>
      </c>
      <c r="C466" s="174" t="s">
        <v>1292</v>
      </c>
      <c r="D466" s="171" t="s">
        <v>1330</v>
      </c>
      <c r="E466" s="172" t="s">
        <v>452</v>
      </c>
      <c r="F466" s="170">
        <v>30</v>
      </c>
      <c r="G466" s="173">
        <v>330</v>
      </c>
      <c r="H466" s="173">
        <f t="shared" si="29"/>
        <v>379.49999999999994</v>
      </c>
      <c r="I466" s="173">
        <f t="shared" si="28"/>
        <v>11384.999999999998</v>
      </c>
      <c r="J466" s="173">
        <f t="shared" si="27"/>
        <v>13548.149999999998</v>
      </c>
    </row>
    <row r="467" spans="1:10" ht="30" x14ac:dyDescent="0.25">
      <c r="A467" s="170" t="s">
        <v>661</v>
      </c>
      <c r="B467" s="171" t="s">
        <v>662</v>
      </c>
      <c r="C467" s="170" t="s">
        <v>1318</v>
      </c>
      <c r="D467" s="171" t="s">
        <v>1331</v>
      </c>
      <c r="E467" s="172" t="s">
        <v>739</v>
      </c>
      <c r="F467" s="170">
        <v>76</v>
      </c>
      <c r="G467" s="173">
        <v>210</v>
      </c>
      <c r="H467" s="173">
        <f t="shared" si="29"/>
        <v>241.49999999999997</v>
      </c>
      <c r="I467" s="173">
        <f t="shared" si="28"/>
        <v>18353.999999999996</v>
      </c>
      <c r="J467" s="173">
        <f t="shared" si="27"/>
        <v>21841.259999999995</v>
      </c>
    </row>
    <row r="468" spans="1:10" x14ac:dyDescent="0.25">
      <c r="A468" s="170" t="s">
        <v>661</v>
      </c>
      <c r="B468" s="171" t="s">
        <v>662</v>
      </c>
      <c r="C468" s="174" t="s">
        <v>1292</v>
      </c>
      <c r="D468" s="171" t="s">
        <v>1332</v>
      </c>
      <c r="E468" s="172" t="s">
        <v>452</v>
      </c>
      <c r="F468" s="170">
        <v>3</v>
      </c>
      <c r="G468" s="173">
        <v>2000</v>
      </c>
      <c r="H468" s="173">
        <f t="shared" si="29"/>
        <v>2300</v>
      </c>
      <c r="I468" s="173">
        <f t="shared" si="28"/>
        <v>6900</v>
      </c>
      <c r="J468" s="173">
        <f t="shared" si="27"/>
        <v>8211</v>
      </c>
    </row>
    <row r="469" spans="1:10" ht="30" x14ac:dyDescent="0.25">
      <c r="A469" s="170" t="s">
        <v>661</v>
      </c>
      <c r="B469" s="171" t="s">
        <v>662</v>
      </c>
      <c r="C469" s="174" t="s">
        <v>1292</v>
      </c>
      <c r="D469" s="171" t="s">
        <v>1333</v>
      </c>
      <c r="E469" s="172" t="s">
        <v>452</v>
      </c>
      <c r="F469" s="170">
        <v>2</v>
      </c>
      <c r="G469" s="173">
        <v>2300</v>
      </c>
      <c r="H469" s="173">
        <f t="shared" si="29"/>
        <v>2645</v>
      </c>
      <c r="I469" s="173">
        <f t="shared" si="28"/>
        <v>5290</v>
      </c>
      <c r="J469" s="173">
        <f t="shared" si="27"/>
        <v>6295.0999999999995</v>
      </c>
    </row>
    <row r="470" spans="1:10" ht="45" x14ac:dyDescent="0.25">
      <c r="A470" s="170" t="s">
        <v>661</v>
      </c>
      <c r="B470" s="171" t="s">
        <v>662</v>
      </c>
      <c r="C470" s="174" t="s">
        <v>1292</v>
      </c>
      <c r="D470" s="171" t="s">
        <v>1334</v>
      </c>
      <c r="E470" s="172" t="s">
        <v>452</v>
      </c>
      <c r="F470" s="170">
        <v>42</v>
      </c>
      <c r="G470" s="173">
        <v>2200</v>
      </c>
      <c r="H470" s="173">
        <f t="shared" si="29"/>
        <v>2530</v>
      </c>
      <c r="I470" s="173">
        <f t="shared" si="28"/>
        <v>106260</v>
      </c>
      <c r="J470" s="173">
        <f t="shared" ref="J470:J488" si="30">I470*1.19</f>
        <v>126449.4</v>
      </c>
    </row>
    <row r="471" spans="1:10" ht="45" x14ac:dyDescent="0.25">
      <c r="A471" s="170" t="s">
        <v>661</v>
      </c>
      <c r="B471" s="171" t="s">
        <v>662</v>
      </c>
      <c r="C471" s="174" t="s">
        <v>1292</v>
      </c>
      <c r="D471" s="171" t="s">
        <v>1335</v>
      </c>
      <c r="E471" s="172" t="s">
        <v>452</v>
      </c>
      <c r="F471" s="170">
        <v>85</v>
      </c>
      <c r="G471" s="173">
        <v>1250</v>
      </c>
      <c r="H471" s="173">
        <f t="shared" si="29"/>
        <v>1437.5</v>
      </c>
      <c r="I471" s="173">
        <f t="shared" ref="I471:I488" si="31">H471*F471</f>
        <v>122187.5</v>
      </c>
      <c r="J471" s="173">
        <f t="shared" si="30"/>
        <v>145403.125</v>
      </c>
    </row>
    <row r="472" spans="1:10" ht="45" x14ac:dyDescent="0.25">
      <c r="A472" s="170" t="s">
        <v>661</v>
      </c>
      <c r="B472" s="171" t="s">
        <v>662</v>
      </c>
      <c r="C472" s="174" t="s">
        <v>1292</v>
      </c>
      <c r="D472" s="171" t="s">
        <v>1336</v>
      </c>
      <c r="E472" s="172" t="s">
        <v>452</v>
      </c>
      <c r="F472" s="170">
        <v>3</v>
      </c>
      <c r="G472" s="173">
        <v>1010</v>
      </c>
      <c r="H472" s="173">
        <f t="shared" si="29"/>
        <v>1161.5</v>
      </c>
      <c r="I472" s="173">
        <f t="shared" si="31"/>
        <v>3484.5</v>
      </c>
      <c r="J472" s="173">
        <f t="shared" si="30"/>
        <v>4146.5549999999994</v>
      </c>
    </row>
    <row r="473" spans="1:10" x14ac:dyDescent="0.25">
      <c r="A473" s="170" t="s">
        <v>661</v>
      </c>
      <c r="B473" s="171" t="s">
        <v>662</v>
      </c>
      <c r="C473" s="170" t="s">
        <v>1043</v>
      </c>
      <c r="D473" s="171" t="s">
        <v>1337</v>
      </c>
      <c r="E473" s="172" t="s">
        <v>452</v>
      </c>
      <c r="F473" s="170">
        <v>277</v>
      </c>
      <c r="G473" s="173">
        <v>120</v>
      </c>
      <c r="H473" s="173">
        <f t="shared" si="29"/>
        <v>138</v>
      </c>
      <c r="I473" s="173">
        <f t="shared" si="31"/>
        <v>38226</v>
      </c>
      <c r="J473" s="173">
        <f t="shared" si="30"/>
        <v>45488.939999999995</v>
      </c>
    </row>
    <row r="474" spans="1:10" ht="30" x14ac:dyDescent="0.25">
      <c r="A474" s="170" t="s">
        <v>661</v>
      </c>
      <c r="B474" s="171" t="s">
        <v>662</v>
      </c>
      <c r="C474" s="170" t="s">
        <v>1222</v>
      </c>
      <c r="D474" s="171" t="s">
        <v>733</v>
      </c>
      <c r="E474" s="172" t="s">
        <v>452</v>
      </c>
      <c r="F474" s="170">
        <v>40</v>
      </c>
      <c r="G474" s="173">
        <v>75</v>
      </c>
      <c r="H474" s="173">
        <f t="shared" si="29"/>
        <v>86.25</v>
      </c>
      <c r="I474" s="173">
        <f t="shared" si="31"/>
        <v>3450</v>
      </c>
      <c r="J474" s="173">
        <f t="shared" si="30"/>
        <v>4105.5</v>
      </c>
    </row>
    <row r="475" spans="1:10" ht="45" x14ac:dyDescent="0.25">
      <c r="A475" s="170" t="s">
        <v>661</v>
      </c>
      <c r="B475" s="171" t="s">
        <v>662</v>
      </c>
      <c r="C475" s="174" t="s">
        <v>1292</v>
      </c>
      <c r="D475" s="171" t="s">
        <v>1338</v>
      </c>
      <c r="E475" s="172" t="s">
        <v>452</v>
      </c>
      <c r="F475" s="170">
        <v>10</v>
      </c>
      <c r="G475" s="173">
        <v>800</v>
      </c>
      <c r="H475" s="173">
        <f t="shared" si="29"/>
        <v>919.99999999999989</v>
      </c>
      <c r="I475" s="173">
        <f t="shared" si="31"/>
        <v>9199.9999999999982</v>
      </c>
      <c r="J475" s="173">
        <f t="shared" si="30"/>
        <v>10947.999999999998</v>
      </c>
    </row>
    <row r="476" spans="1:10" x14ac:dyDescent="0.25">
      <c r="A476" s="170" t="s">
        <v>661</v>
      </c>
      <c r="B476" s="171" t="s">
        <v>662</v>
      </c>
      <c r="C476" s="174" t="s">
        <v>1292</v>
      </c>
      <c r="D476" s="171" t="s">
        <v>1339</v>
      </c>
      <c r="E476" s="172" t="s">
        <v>452</v>
      </c>
      <c r="F476" s="170">
        <v>4</v>
      </c>
      <c r="G476" s="173">
        <v>2600</v>
      </c>
      <c r="H476" s="173">
        <f t="shared" si="29"/>
        <v>2989.9999999999995</v>
      </c>
      <c r="I476" s="173">
        <f t="shared" si="31"/>
        <v>11959.999999999998</v>
      </c>
      <c r="J476" s="173">
        <f t="shared" si="30"/>
        <v>14232.399999999998</v>
      </c>
    </row>
    <row r="477" spans="1:10" ht="30" x14ac:dyDescent="0.25">
      <c r="A477" s="170" t="s">
        <v>661</v>
      </c>
      <c r="B477" s="171" t="s">
        <v>662</v>
      </c>
      <c r="C477" s="174" t="s">
        <v>1292</v>
      </c>
      <c r="D477" s="171" t="s">
        <v>1340</v>
      </c>
      <c r="E477" s="172" t="s">
        <v>452</v>
      </c>
      <c r="F477" s="170">
        <v>53</v>
      </c>
      <c r="G477" s="173">
        <v>3250</v>
      </c>
      <c r="H477" s="173">
        <f t="shared" si="29"/>
        <v>3737.4999999999995</v>
      </c>
      <c r="I477" s="173">
        <f t="shared" si="31"/>
        <v>198087.49999999997</v>
      </c>
      <c r="J477" s="173">
        <f t="shared" si="30"/>
        <v>235724.12499999994</v>
      </c>
    </row>
    <row r="478" spans="1:10" ht="30" x14ac:dyDescent="0.25">
      <c r="A478" s="170" t="s">
        <v>661</v>
      </c>
      <c r="B478" s="171" t="s">
        <v>662</v>
      </c>
      <c r="C478" s="170" t="s">
        <v>1169</v>
      </c>
      <c r="D478" s="171" t="s">
        <v>1312</v>
      </c>
      <c r="E478" s="172" t="s">
        <v>452</v>
      </c>
      <c r="F478" s="170">
        <v>23</v>
      </c>
      <c r="G478" s="173">
        <v>2000</v>
      </c>
      <c r="H478" s="173">
        <f t="shared" si="29"/>
        <v>2300</v>
      </c>
      <c r="I478" s="173">
        <f t="shared" si="31"/>
        <v>52900</v>
      </c>
      <c r="J478" s="173">
        <f t="shared" si="30"/>
        <v>62951</v>
      </c>
    </row>
    <row r="479" spans="1:10" x14ac:dyDescent="0.25">
      <c r="A479" s="170" t="s">
        <v>661</v>
      </c>
      <c r="B479" s="171" t="s">
        <v>662</v>
      </c>
      <c r="C479" s="174" t="s">
        <v>1292</v>
      </c>
      <c r="D479" s="171" t="s">
        <v>1341</v>
      </c>
      <c r="E479" s="172" t="s">
        <v>452</v>
      </c>
      <c r="F479" s="170">
        <v>3</v>
      </c>
      <c r="G479" s="173">
        <v>9800</v>
      </c>
      <c r="H479" s="173">
        <f t="shared" si="29"/>
        <v>11270</v>
      </c>
      <c r="I479" s="173">
        <f t="shared" si="31"/>
        <v>33810</v>
      </c>
      <c r="J479" s="173">
        <f t="shared" si="30"/>
        <v>40233.9</v>
      </c>
    </row>
    <row r="480" spans="1:10" ht="30" x14ac:dyDescent="0.25">
      <c r="A480" s="170" t="s">
        <v>661</v>
      </c>
      <c r="B480" s="171" t="s">
        <v>662</v>
      </c>
      <c r="C480" s="170" t="s">
        <v>1318</v>
      </c>
      <c r="D480" s="171" t="s">
        <v>1342</v>
      </c>
      <c r="E480" s="172" t="s">
        <v>452</v>
      </c>
      <c r="F480" s="170">
        <v>103</v>
      </c>
      <c r="G480" s="173">
        <v>1950</v>
      </c>
      <c r="H480" s="173">
        <f t="shared" si="29"/>
        <v>2242.5</v>
      </c>
      <c r="I480" s="173">
        <f t="shared" si="31"/>
        <v>230977.5</v>
      </c>
      <c r="J480" s="173">
        <f t="shared" si="30"/>
        <v>274863.22499999998</v>
      </c>
    </row>
    <row r="481" spans="1:10" ht="30" x14ac:dyDescent="0.25">
      <c r="A481" s="170" t="s">
        <v>661</v>
      </c>
      <c r="B481" s="171" t="s">
        <v>662</v>
      </c>
      <c r="C481" s="174" t="s">
        <v>1292</v>
      </c>
      <c r="D481" s="171" t="s">
        <v>1343</v>
      </c>
      <c r="E481" s="172" t="s">
        <v>452</v>
      </c>
      <c r="F481" s="170">
        <v>150</v>
      </c>
      <c r="G481" s="173">
        <v>60</v>
      </c>
      <c r="H481" s="173">
        <f t="shared" si="29"/>
        <v>69</v>
      </c>
      <c r="I481" s="173">
        <f t="shared" si="31"/>
        <v>10350</v>
      </c>
      <c r="J481" s="173">
        <f t="shared" si="30"/>
        <v>12316.5</v>
      </c>
    </row>
    <row r="482" spans="1:10" x14ac:dyDescent="0.25">
      <c r="A482" s="170" t="s">
        <v>661</v>
      </c>
      <c r="B482" s="171" t="s">
        <v>662</v>
      </c>
      <c r="C482" s="174" t="s">
        <v>1292</v>
      </c>
      <c r="D482" s="171" t="s">
        <v>1344</v>
      </c>
      <c r="E482" s="172" t="s">
        <v>452</v>
      </c>
      <c r="F482" s="170">
        <v>3</v>
      </c>
      <c r="G482" s="173">
        <v>1950</v>
      </c>
      <c r="H482" s="173">
        <f t="shared" si="29"/>
        <v>2242.5</v>
      </c>
      <c r="I482" s="173">
        <f t="shared" si="31"/>
        <v>6727.5</v>
      </c>
      <c r="J482" s="173">
        <f t="shared" si="30"/>
        <v>8005.7249999999995</v>
      </c>
    </row>
    <row r="483" spans="1:10" x14ac:dyDescent="0.25">
      <c r="A483" s="170" t="s">
        <v>661</v>
      </c>
      <c r="B483" s="171" t="s">
        <v>662</v>
      </c>
      <c r="C483" s="174" t="s">
        <v>1292</v>
      </c>
      <c r="D483" s="171" t="s">
        <v>1317</v>
      </c>
      <c r="E483" s="172" t="s">
        <v>519</v>
      </c>
      <c r="F483" s="170">
        <v>10</v>
      </c>
      <c r="G483" s="173">
        <v>1700</v>
      </c>
      <c r="H483" s="173">
        <f t="shared" si="29"/>
        <v>1954.9999999999998</v>
      </c>
      <c r="I483" s="173">
        <f t="shared" si="31"/>
        <v>19549.999999999996</v>
      </c>
      <c r="J483" s="173">
        <f t="shared" si="30"/>
        <v>23264.499999999996</v>
      </c>
    </row>
    <row r="484" spans="1:10" x14ac:dyDescent="0.25">
      <c r="A484" s="170" t="s">
        <v>661</v>
      </c>
      <c r="B484" s="171" t="s">
        <v>662</v>
      </c>
      <c r="C484" s="174" t="s">
        <v>1292</v>
      </c>
      <c r="D484" s="171" t="s">
        <v>1345</v>
      </c>
      <c r="E484" s="172" t="s">
        <v>452</v>
      </c>
      <c r="F484" s="170">
        <v>160</v>
      </c>
      <c r="G484" s="173">
        <v>31</v>
      </c>
      <c r="H484" s="173">
        <f t="shared" si="29"/>
        <v>35.65</v>
      </c>
      <c r="I484" s="173">
        <f t="shared" si="31"/>
        <v>5704</v>
      </c>
      <c r="J484" s="173">
        <f t="shared" si="30"/>
        <v>6787.7599999999993</v>
      </c>
    </row>
    <row r="485" spans="1:10" x14ac:dyDescent="0.25">
      <c r="A485" s="170" t="s">
        <v>661</v>
      </c>
      <c r="B485" s="171" t="s">
        <v>662</v>
      </c>
      <c r="C485" s="170" t="s">
        <v>1346</v>
      </c>
      <c r="D485" s="171" t="s">
        <v>1347</v>
      </c>
      <c r="E485" s="172" t="s">
        <v>452</v>
      </c>
      <c r="F485" s="170">
        <v>480</v>
      </c>
      <c r="G485" s="173">
        <v>1.54</v>
      </c>
      <c r="H485" s="173">
        <f t="shared" si="29"/>
        <v>1.7709999999999999</v>
      </c>
      <c r="I485" s="173">
        <f t="shared" si="31"/>
        <v>850.07999999999993</v>
      </c>
      <c r="J485" s="173">
        <f t="shared" si="30"/>
        <v>1011.5951999999999</v>
      </c>
    </row>
    <row r="486" spans="1:10" x14ac:dyDescent="0.25">
      <c r="A486" s="170" t="s">
        <v>661</v>
      </c>
      <c r="B486" s="171" t="s">
        <v>662</v>
      </c>
      <c r="C486" s="170" t="s">
        <v>1346</v>
      </c>
      <c r="D486" s="171" t="s">
        <v>1348</v>
      </c>
      <c r="E486" s="172" t="s">
        <v>452</v>
      </c>
      <c r="F486" s="170">
        <v>300</v>
      </c>
      <c r="G486" s="173">
        <v>1.43</v>
      </c>
      <c r="H486" s="173">
        <f t="shared" si="29"/>
        <v>1.6444999999999999</v>
      </c>
      <c r="I486" s="173">
        <f t="shared" si="31"/>
        <v>493.34999999999997</v>
      </c>
      <c r="J486" s="173">
        <f t="shared" si="30"/>
        <v>587.08649999999989</v>
      </c>
    </row>
    <row r="487" spans="1:10" x14ac:dyDescent="0.25">
      <c r="A487" s="170" t="s">
        <v>661</v>
      </c>
      <c r="B487" s="171" t="s">
        <v>662</v>
      </c>
      <c r="C487" s="170" t="s">
        <v>1346</v>
      </c>
      <c r="D487" s="171" t="s">
        <v>1349</v>
      </c>
      <c r="E487" s="172" t="s">
        <v>452</v>
      </c>
      <c r="F487" s="170">
        <v>180</v>
      </c>
      <c r="G487" s="173">
        <v>1.17</v>
      </c>
      <c r="H487" s="173">
        <f t="shared" si="29"/>
        <v>1.3454999999999999</v>
      </c>
      <c r="I487" s="173">
        <f t="shared" si="31"/>
        <v>242.19</v>
      </c>
      <c r="J487" s="173">
        <f t="shared" si="30"/>
        <v>288.20609999999999</v>
      </c>
    </row>
    <row r="488" spans="1:10" ht="45" x14ac:dyDescent="0.25">
      <c r="A488" s="170" t="s">
        <v>661</v>
      </c>
      <c r="B488" s="171" t="s">
        <v>662</v>
      </c>
      <c r="C488" s="174" t="s">
        <v>1043</v>
      </c>
      <c r="D488" s="171" t="s">
        <v>1350</v>
      </c>
      <c r="E488" s="172" t="s">
        <v>452</v>
      </c>
      <c r="F488" s="170">
        <v>100</v>
      </c>
      <c r="G488" s="173">
        <v>37.6</v>
      </c>
      <c r="H488" s="173">
        <f t="shared" si="29"/>
        <v>43.239999999999995</v>
      </c>
      <c r="I488" s="173">
        <f t="shared" si="31"/>
        <v>4323.9999999999991</v>
      </c>
      <c r="J488" s="173">
        <f t="shared" si="30"/>
        <v>5145.5599999999986</v>
      </c>
    </row>
    <row r="489" spans="1:10" x14ac:dyDescent="0.25">
      <c r="A489" s="237" t="s">
        <v>1351</v>
      </c>
      <c r="B489" s="238"/>
      <c r="C489" s="238"/>
      <c r="D489" s="238"/>
      <c r="E489" s="238"/>
      <c r="F489" s="238"/>
      <c r="G489" s="238"/>
      <c r="H489" s="238"/>
      <c r="I489" s="239"/>
      <c r="J489" s="179">
        <f>SUM(J195:J213)</f>
        <v>14128305.623935999</v>
      </c>
    </row>
    <row r="490" spans="1:10" x14ac:dyDescent="0.25">
      <c r="A490" s="170" t="s">
        <v>735</v>
      </c>
      <c r="B490" s="171" t="s">
        <v>736</v>
      </c>
      <c r="C490" s="170" t="s">
        <v>1352</v>
      </c>
      <c r="D490" s="171" t="s">
        <v>737</v>
      </c>
      <c r="E490" s="172" t="s">
        <v>541</v>
      </c>
      <c r="F490" s="170">
        <v>25</v>
      </c>
      <c r="G490" s="173">
        <v>35</v>
      </c>
      <c r="H490" s="173">
        <f t="shared" si="29"/>
        <v>40.25</v>
      </c>
      <c r="I490" s="173">
        <f>H490*F490</f>
        <v>1006.25</v>
      </c>
      <c r="J490" s="173">
        <f t="shared" ref="J490:J514" si="32">I490*1.19</f>
        <v>1197.4375</v>
      </c>
    </row>
    <row r="491" spans="1:10" x14ac:dyDescent="0.25">
      <c r="A491" s="170" t="s">
        <v>735</v>
      </c>
      <c r="B491" s="171" t="s">
        <v>736</v>
      </c>
      <c r="C491" s="170" t="s">
        <v>1352</v>
      </c>
      <c r="D491" s="171" t="s">
        <v>748</v>
      </c>
      <c r="E491" s="172" t="s">
        <v>688</v>
      </c>
      <c r="F491" s="170">
        <v>25</v>
      </c>
      <c r="G491" s="173">
        <v>30</v>
      </c>
      <c r="H491" s="173">
        <f t="shared" si="29"/>
        <v>34.5</v>
      </c>
      <c r="I491" s="173">
        <f t="shared" ref="I491:I514" si="33">H491*F491</f>
        <v>862.5</v>
      </c>
      <c r="J491" s="173">
        <f t="shared" si="32"/>
        <v>1026.375</v>
      </c>
    </row>
    <row r="492" spans="1:10" x14ac:dyDescent="0.25">
      <c r="A492" s="170" t="s">
        <v>735</v>
      </c>
      <c r="B492" s="171" t="s">
        <v>736</v>
      </c>
      <c r="C492" s="170" t="s">
        <v>1352</v>
      </c>
      <c r="D492" s="171" t="s">
        <v>738</v>
      </c>
      <c r="E492" s="172" t="s">
        <v>739</v>
      </c>
      <c r="F492" s="170">
        <v>25</v>
      </c>
      <c r="G492" s="173">
        <v>30</v>
      </c>
      <c r="H492" s="173">
        <f t="shared" si="29"/>
        <v>34.5</v>
      </c>
      <c r="I492" s="173">
        <f t="shared" si="33"/>
        <v>862.5</v>
      </c>
      <c r="J492" s="173">
        <f t="shared" si="32"/>
        <v>1026.375</v>
      </c>
    </row>
    <row r="493" spans="1:10" x14ac:dyDescent="0.25">
      <c r="A493" s="170" t="s">
        <v>735</v>
      </c>
      <c r="B493" s="171" t="s">
        <v>736</v>
      </c>
      <c r="C493" s="170" t="s">
        <v>1353</v>
      </c>
      <c r="D493" s="171" t="s">
        <v>740</v>
      </c>
      <c r="E493" s="172" t="s">
        <v>739</v>
      </c>
      <c r="F493" s="170">
        <v>25</v>
      </c>
      <c r="G493" s="173">
        <v>52.5</v>
      </c>
      <c r="H493" s="173">
        <f t="shared" si="29"/>
        <v>60.374999999999993</v>
      </c>
      <c r="I493" s="173">
        <f t="shared" si="33"/>
        <v>1509.3749999999998</v>
      </c>
      <c r="J493" s="173">
        <f t="shared" si="32"/>
        <v>1796.1562499999995</v>
      </c>
    </row>
    <row r="494" spans="1:10" x14ac:dyDescent="0.25">
      <c r="A494" s="170" t="s">
        <v>735</v>
      </c>
      <c r="B494" s="171" t="s">
        <v>736</v>
      </c>
      <c r="C494" s="170" t="s">
        <v>1352</v>
      </c>
      <c r="D494" s="171" t="s">
        <v>747</v>
      </c>
      <c r="E494" s="172" t="s">
        <v>452</v>
      </c>
      <c r="F494" s="170">
        <v>1100</v>
      </c>
      <c r="G494" s="173">
        <v>7.89</v>
      </c>
      <c r="H494" s="173">
        <f t="shared" si="29"/>
        <v>9.0734999999999992</v>
      </c>
      <c r="I494" s="173">
        <f t="shared" si="33"/>
        <v>9980.8499999999985</v>
      </c>
      <c r="J494" s="173">
        <f t="shared" si="32"/>
        <v>11877.211499999998</v>
      </c>
    </row>
    <row r="495" spans="1:10" x14ac:dyDescent="0.25">
      <c r="A495" s="170" t="s">
        <v>735</v>
      </c>
      <c r="B495" s="171" t="s">
        <v>736</v>
      </c>
      <c r="C495" s="170" t="s">
        <v>1354</v>
      </c>
      <c r="D495" s="171" t="s">
        <v>741</v>
      </c>
      <c r="E495" s="172" t="s">
        <v>541</v>
      </c>
      <c r="F495" s="170">
        <v>820</v>
      </c>
      <c r="G495" s="173">
        <v>19.5</v>
      </c>
      <c r="H495" s="173">
        <f t="shared" si="29"/>
        <v>22.424999999999997</v>
      </c>
      <c r="I495" s="173">
        <f t="shared" si="33"/>
        <v>18388.499999999996</v>
      </c>
      <c r="J495" s="173">
        <f t="shared" si="32"/>
        <v>21882.314999999995</v>
      </c>
    </row>
    <row r="496" spans="1:10" ht="30" x14ac:dyDescent="0.25">
      <c r="A496" s="170" t="s">
        <v>735</v>
      </c>
      <c r="B496" s="171" t="s">
        <v>736</v>
      </c>
      <c r="C496" s="170" t="s">
        <v>1352</v>
      </c>
      <c r="D496" s="171" t="s">
        <v>744</v>
      </c>
      <c r="E496" s="172" t="s">
        <v>452</v>
      </c>
      <c r="F496" s="170">
        <v>50</v>
      </c>
      <c r="G496" s="173">
        <v>60</v>
      </c>
      <c r="H496" s="173">
        <f t="shared" si="29"/>
        <v>69</v>
      </c>
      <c r="I496" s="173">
        <f t="shared" si="33"/>
        <v>3450</v>
      </c>
      <c r="J496" s="173">
        <f t="shared" si="32"/>
        <v>4105.5</v>
      </c>
    </row>
    <row r="497" spans="1:10" x14ac:dyDescent="0.25">
      <c r="A497" s="170" t="s">
        <v>735</v>
      </c>
      <c r="B497" s="171" t="s">
        <v>736</v>
      </c>
      <c r="C497" s="170" t="s">
        <v>1352</v>
      </c>
      <c r="D497" s="171" t="s">
        <v>1355</v>
      </c>
      <c r="E497" s="172" t="s">
        <v>452</v>
      </c>
      <c r="F497" s="170">
        <v>2</v>
      </c>
      <c r="G497" s="173">
        <v>8800</v>
      </c>
      <c r="H497" s="173">
        <f t="shared" si="29"/>
        <v>10120</v>
      </c>
      <c r="I497" s="173">
        <f t="shared" si="33"/>
        <v>20240</v>
      </c>
      <c r="J497" s="173">
        <f t="shared" si="32"/>
        <v>24085.599999999999</v>
      </c>
    </row>
    <row r="498" spans="1:10" x14ac:dyDescent="0.25">
      <c r="A498" s="170" t="s">
        <v>735</v>
      </c>
      <c r="B498" s="171" t="s">
        <v>736</v>
      </c>
      <c r="C498" s="170" t="s">
        <v>1352</v>
      </c>
      <c r="D498" s="171" t="s">
        <v>1356</v>
      </c>
      <c r="E498" s="172" t="s">
        <v>452</v>
      </c>
      <c r="F498" s="170">
        <v>1</v>
      </c>
      <c r="G498" s="173">
        <v>8800</v>
      </c>
      <c r="H498" s="173">
        <f t="shared" si="29"/>
        <v>10120</v>
      </c>
      <c r="I498" s="173">
        <f t="shared" si="33"/>
        <v>10120</v>
      </c>
      <c r="J498" s="173">
        <f t="shared" si="32"/>
        <v>12042.8</v>
      </c>
    </row>
    <row r="499" spans="1:10" x14ac:dyDescent="0.25">
      <c r="A499" s="170" t="s">
        <v>735</v>
      </c>
      <c r="B499" s="171" t="s">
        <v>736</v>
      </c>
      <c r="C499" s="170" t="s">
        <v>1352</v>
      </c>
      <c r="D499" s="171" t="s">
        <v>1357</v>
      </c>
      <c r="E499" s="172" t="s">
        <v>739</v>
      </c>
      <c r="F499" s="170">
        <v>2</v>
      </c>
      <c r="G499" s="173">
        <v>8800</v>
      </c>
      <c r="H499" s="173">
        <f t="shared" si="29"/>
        <v>10120</v>
      </c>
      <c r="I499" s="173">
        <f t="shared" si="33"/>
        <v>20240</v>
      </c>
      <c r="J499" s="173">
        <f t="shared" si="32"/>
        <v>24085.599999999999</v>
      </c>
    </row>
    <row r="500" spans="1:10" x14ac:dyDescent="0.25">
      <c r="A500" s="170" t="s">
        <v>735</v>
      </c>
      <c r="B500" s="171" t="s">
        <v>736</v>
      </c>
      <c r="C500" s="170" t="s">
        <v>1354</v>
      </c>
      <c r="D500" s="171" t="s">
        <v>742</v>
      </c>
      <c r="E500" s="172" t="s">
        <v>637</v>
      </c>
      <c r="F500" s="170">
        <v>32</v>
      </c>
      <c r="G500" s="173">
        <v>35.700000000000003</v>
      </c>
      <c r="H500" s="173">
        <f t="shared" si="29"/>
        <v>41.055</v>
      </c>
      <c r="I500" s="173">
        <f t="shared" si="33"/>
        <v>1313.76</v>
      </c>
      <c r="J500" s="173">
        <f t="shared" si="32"/>
        <v>1563.3743999999999</v>
      </c>
    </row>
    <row r="501" spans="1:10" x14ac:dyDescent="0.25">
      <c r="A501" s="170" t="s">
        <v>735</v>
      </c>
      <c r="B501" s="171" t="s">
        <v>736</v>
      </c>
      <c r="C501" s="170" t="s">
        <v>1352</v>
      </c>
      <c r="D501" s="171" t="s">
        <v>1358</v>
      </c>
      <c r="E501" s="172" t="s">
        <v>688</v>
      </c>
      <c r="F501" s="170">
        <v>10</v>
      </c>
      <c r="G501" s="173">
        <v>45</v>
      </c>
      <c r="H501" s="173">
        <f t="shared" si="29"/>
        <v>51.749999999999993</v>
      </c>
      <c r="I501" s="173">
        <f t="shared" si="33"/>
        <v>517.49999999999989</v>
      </c>
      <c r="J501" s="173">
        <f t="shared" si="32"/>
        <v>615.82499999999982</v>
      </c>
    </row>
    <row r="502" spans="1:10" x14ac:dyDescent="0.25">
      <c r="A502" s="170" t="s">
        <v>735</v>
      </c>
      <c r="B502" s="171" t="s">
        <v>736</v>
      </c>
      <c r="C502" s="170" t="s">
        <v>1352</v>
      </c>
      <c r="D502" s="171" t="s">
        <v>1359</v>
      </c>
      <c r="E502" s="172" t="s">
        <v>739</v>
      </c>
      <c r="F502" s="170">
        <v>200</v>
      </c>
      <c r="G502" s="173">
        <v>2.8</v>
      </c>
      <c r="H502" s="173">
        <f t="shared" si="29"/>
        <v>3.2199999999999998</v>
      </c>
      <c r="I502" s="173">
        <f t="shared" si="33"/>
        <v>644</v>
      </c>
      <c r="J502" s="173">
        <f t="shared" si="32"/>
        <v>766.36</v>
      </c>
    </row>
    <row r="503" spans="1:10" ht="45" x14ac:dyDescent="0.25">
      <c r="A503" s="170" t="s">
        <v>735</v>
      </c>
      <c r="B503" s="171" t="s">
        <v>736</v>
      </c>
      <c r="C503" s="170" t="s">
        <v>1352</v>
      </c>
      <c r="D503" s="171" t="s">
        <v>1360</v>
      </c>
      <c r="E503" s="172" t="s">
        <v>452</v>
      </c>
      <c r="F503" s="170">
        <v>500</v>
      </c>
      <c r="G503" s="173">
        <v>1.2</v>
      </c>
      <c r="H503" s="173">
        <f t="shared" si="29"/>
        <v>1.38</v>
      </c>
      <c r="I503" s="173">
        <f t="shared" si="33"/>
        <v>690</v>
      </c>
      <c r="J503" s="173">
        <f t="shared" si="32"/>
        <v>821.09999999999991</v>
      </c>
    </row>
    <row r="504" spans="1:10" x14ac:dyDescent="0.25">
      <c r="A504" s="170" t="s">
        <v>735</v>
      </c>
      <c r="B504" s="171" t="s">
        <v>736</v>
      </c>
      <c r="C504" s="170" t="s">
        <v>1352</v>
      </c>
      <c r="D504" s="171" t="s">
        <v>746</v>
      </c>
      <c r="E504" s="172" t="s">
        <v>452</v>
      </c>
      <c r="F504" s="170">
        <v>200</v>
      </c>
      <c r="G504" s="173">
        <v>4.1900000000000004</v>
      </c>
      <c r="H504" s="173">
        <f t="shared" si="29"/>
        <v>4.8185000000000002</v>
      </c>
      <c r="I504" s="173">
        <f t="shared" si="33"/>
        <v>963.7</v>
      </c>
      <c r="J504" s="173">
        <f t="shared" si="32"/>
        <v>1146.8030000000001</v>
      </c>
    </row>
    <row r="505" spans="1:10" x14ac:dyDescent="0.25">
      <c r="A505" s="170" t="s">
        <v>735</v>
      </c>
      <c r="B505" s="171" t="s">
        <v>736</v>
      </c>
      <c r="C505" s="170" t="s">
        <v>1352</v>
      </c>
      <c r="D505" s="171" t="s">
        <v>743</v>
      </c>
      <c r="E505" s="172" t="s">
        <v>541</v>
      </c>
      <c r="F505" s="170">
        <v>20</v>
      </c>
      <c r="G505" s="173">
        <v>29.9</v>
      </c>
      <c r="H505" s="173">
        <f t="shared" si="29"/>
        <v>34.384999999999998</v>
      </c>
      <c r="I505" s="173">
        <f t="shared" si="33"/>
        <v>687.69999999999993</v>
      </c>
      <c r="J505" s="173">
        <f t="shared" si="32"/>
        <v>818.36299999999983</v>
      </c>
    </row>
    <row r="506" spans="1:10" x14ac:dyDescent="0.25">
      <c r="A506" s="170" t="s">
        <v>735</v>
      </c>
      <c r="B506" s="171" t="s">
        <v>736</v>
      </c>
      <c r="C506" s="170" t="s">
        <v>1352</v>
      </c>
      <c r="D506" s="171" t="s">
        <v>753</v>
      </c>
      <c r="E506" s="172" t="s">
        <v>519</v>
      </c>
      <c r="F506" s="170">
        <v>25</v>
      </c>
      <c r="G506" s="173">
        <v>172.5</v>
      </c>
      <c r="H506" s="173">
        <f t="shared" si="29"/>
        <v>198.37499999999997</v>
      </c>
      <c r="I506" s="173">
        <f t="shared" si="33"/>
        <v>4959.3749999999991</v>
      </c>
      <c r="J506" s="173">
        <f t="shared" si="32"/>
        <v>5901.6562499999991</v>
      </c>
    </row>
    <row r="507" spans="1:10" x14ac:dyDescent="0.25">
      <c r="A507" s="170" t="s">
        <v>735</v>
      </c>
      <c r="B507" s="171" t="s">
        <v>736</v>
      </c>
      <c r="C507" s="170" t="s">
        <v>1352</v>
      </c>
      <c r="D507" s="171" t="s">
        <v>754</v>
      </c>
      <c r="E507" s="172" t="s">
        <v>519</v>
      </c>
      <c r="F507" s="170">
        <v>25</v>
      </c>
      <c r="G507" s="173">
        <v>245</v>
      </c>
      <c r="H507" s="173">
        <f t="shared" si="29"/>
        <v>281.75</v>
      </c>
      <c r="I507" s="173">
        <f t="shared" si="33"/>
        <v>7043.75</v>
      </c>
      <c r="J507" s="173">
        <f t="shared" si="32"/>
        <v>8382.0625</v>
      </c>
    </row>
    <row r="508" spans="1:10" ht="30" x14ac:dyDescent="0.25">
      <c r="A508" s="170" t="s">
        <v>735</v>
      </c>
      <c r="B508" s="171" t="s">
        <v>736</v>
      </c>
      <c r="C508" s="170" t="s">
        <v>1352</v>
      </c>
      <c r="D508" s="171" t="s">
        <v>755</v>
      </c>
      <c r="E508" s="172" t="s">
        <v>519</v>
      </c>
      <c r="F508" s="170">
        <v>1</v>
      </c>
      <c r="G508" s="173">
        <v>190</v>
      </c>
      <c r="H508" s="173">
        <f t="shared" si="29"/>
        <v>218.49999999999997</v>
      </c>
      <c r="I508" s="173">
        <f t="shared" si="33"/>
        <v>218.49999999999997</v>
      </c>
      <c r="J508" s="173">
        <f t="shared" si="32"/>
        <v>260.01499999999993</v>
      </c>
    </row>
    <row r="509" spans="1:10" ht="30" x14ac:dyDescent="0.25">
      <c r="A509" s="170" t="s">
        <v>735</v>
      </c>
      <c r="B509" s="171" t="s">
        <v>736</v>
      </c>
      <c r="C509" s="170" t="s">
        <v>1352</v>
      </c>
      <c r="D509" s="171" t="s">
        <v>757</v>
      </c>
      <c r="E509" s="172" t="s">
        <v>519</v>
      </c>
      <c r="F509" s="170">
        <v>8</v>
      </c>
      <c r="G509" s="173">
        <v>10000</v>
      </c>
      <c r="H509" s="173">
        <f t="shared" si="29"/>
        <v>11500</v>
      </c>
      <c r="I509" s="173">
        <f t="shared" si="33"/>
        <v>92000</v>
      </c>
      <c r="J509" s="173">
        <f t="shared" si="32"/>
        <v>109480</v>
      </c>
    </row>
    <row r="510" spans="1:10" ht="30" x14ac:dyDescent="0.25">
      <c r="A510" s="170" t="s">
        <v>735</v>
      </c>
      <c r="B510" s="171" t="s">
        <v>736</v>
      </c>
      <c r="C510" s="170" t="s">
        <v>1352</v>
      </c>
      <c r="D510" s="171" t="s">
        <v>752</v>
      </c>
      <c r="E510" s="172" t="s">
        <v>519</v>
      </c>
      <c r="F510" s="170">
        <v>1</v>
      </c>
      <c r="G510" s="173">
        <v>900</v>
      </c>
      <c r="H510" s="173">
        <f t="shared" si="29"/>
        <v>1035</v>
      </c>
      <c r="I510" s="173">
        <f t="shared" si="33"/>
        <v>1035</v>
      </c>
      <c r="J510" s="173">
        <f t="shared" si="32"/>
        <v>1231.6499999999999</v>
      </c>
    </row>
    <row r="511" spans="1:10" ht="30" x14ac:dyDescent="0.25">
      <c r="A511" s="170" t="s">
        <v>735</v>
      </c>
      <c r="B511" s="171" t="s">
        <v>736</v>
      </c>
      <c r="C511" s="170" t="s">
        <v>1352</v>
      </c>
      <c r="D511" s="171" t="s">
        <v>751</v>
      </c>
      <c r="E511" s="172" t="s">
        <v>519</v>
      </c>
      <c r="F511" s="170">
        <v>7</v>
      </c>
      <c r="G511" s="173">
        <v>1225</v>
      </c>
      <c r="H511" s="173">
        <f t="shared" si="29"/>
        <v>1408.75</v>
      </c>
      <c r="I511" s="173">
        <f t="shared" si="33"/>
        <v>9861.25</v>
      </c>
      <c r="J511" s="173">
        <f t="shared" si="32"/>
        <v>11734.887499999999</v>
      </c>
    </row>
    <row r="512" spans="1:10" ht="30" x14ac:dyDescent="0.25">
      <c r="A512" s="170" t="s">
        <v>735</v>
      </c>
      <c r="B512" s="171" t="s">
        <v>736</v>
      </c>
      <c r="C512" s="170" t="s">
        <v>1352</v>
      </c>
      <c r="D512" s="171" t="s">
        <v>749</v>
      </c>
      <c r="E512" s="172" t="s">
        <v>519</v>
      </c>
      <c r="F512" s="170">
        <v>3</v>
      </c>
      <c r="G512" s="173">
        <v>900</v>
      </c>
      <c r="H512" s="173">
        <f t="shared" si="29"/>
        <v>1035</v>
      </c>
      <c r="I512" s="173">
        <f t="shared" si="33"/>
        <v>3105</v>
      </c>
      <c r="J512" s="173">
        <f t="shared" si="32"/>
        <v>3694.95</v>
      </c>
    </row>
    <row r="513" spans="1:10" ht="30" x14ac:dyDescent="0.25">
      <c r="A513" s="170" t="s">
        <v>735</v>
      </c>
      <c r="B513" s="171" t="s">
        <v>736</v>
      </c>
      <c r="C513" s="170" t="s">
        <v>1352</v>
      </c>
      <c r="D513" s="171" t="s">
        <v>750</v>
      </c>
      <c r="E513" s="172" t="s">
        <v>519</v>
      </c>
      <c r="F513" s="170">
        <v>2</v>
      </c>
      <c r="G513" s="173">
        <v>800</v>
      </c>
      <c r="H513" s="173">
        <f t="shared" si="29"/>
        <v>919.99999999999989</v>
      </c>
      <c r="I513" s="173">
        <f t="shared" si="33"/>
        <v>1839.9999999999998</v>
      </c>
      <c r="J513" s="173">
        <f t="shared" si="32"/>
        <v>2189.5999999999995</v>
      </c>
    </row>
    <row r="514" spans="1:10" x14ac:dyDescent="0.25">
      <c r="A514" s="170" t="s">
        <v>735</v>
      </c>
      <c r="B514" s="171" t="s">
        <v>736</v>
      </c>
      <c r="C514" s="170" t="s">
        <v>1352</v>
      </c>
      <c r="D514" s="171" t="s">
        <v>756</v>
      </c>
      <c r="E514" s="172" t="s">
        <v>519</v>
      </c>
      <c r="F514" s="170">
        <v>1</v>
      </c>
      <c r="G514" s="173">
        <v>90</v>
      </c>
      <c r="H514" s="173">
        <f t="shared" si="29"/>
        <v>103.49999999999999</v>
      </c>
      <c r="I514" s="173">
        <f t="shared" si="33"/>
        <v>103.49999999999999</v>
      </c>
      <c r="J514" s="173">
        <f t="shared" si="32"/>
        <v>123.16499999999998</v>
      </c>
    </row>
    <row r="515" spans="1:10" x14ac:dyDescent="0.25">
      <c r="A515" s="237" t="s">
        <v>1361</v>
      </c>
      <c r="B515" s="238"/>
      <c r="C515" s="238"/>
      <c r="D515" s="238"/>
      <c r="E515" s="238"/>
      <c r="F515" s="238"/>
      <c r="G515" s="238"/>
      <c r="H515" s="238"/>
      <c r="I515" s="239"/>
      <c r="J515" s="179">
        <f>SUM(J490:J514)</f>
        <v>251855.1819</v>
      </c>
    </row>
    <row r="516" spans="1:10" x14ac:dyDescent="0.25">
      <c r="A516" s="170" t="s">
        <v>759</v>
      </c>
      <c r="B516" s="171" t="s">
        <v>760</v>
      </c>
      <c r="C516" s="170" t="s">
        <v>1362</v>
      </c>
      <c r="D516" s="171" t="s">
        <v>768</v>
      </c>
      <c r="E516" s="172" t="s">
        <v>637</v>
      </c>
      <c r="F516" s="170">
        <v>221</v>
      </c>
      <c r="G516" s="173">
        <v>150</v>
      </c>
      <c r="H516" s="173">
        <f t="shared" ref="H516:H579" si="34">G516*1.15</f>
        <v>172.5</v>
      </c>
      <c r="I516" s="173">
        <f>H516*F516</f>
        <v>38122.5</v>
      </c>
      <c r="J516" s="173">
        <f t="shared" ref="J516:J534" si="35">I516*1.19</f>
        <v>45365.775000000001</v>
      </c>
    </row>
    <row r="517" spans="1:10" x14ac:dyDescent="0.25">
      <c r="A517" s="170" t="s">
        <v>759</v>
      </c>
      <c r="B517" s="171" t="s">
        <v>760</v>
      </c>
      <c r="C517" s="170" t="s">
        <v>1362</v>
      </c>
      <c r="D517" s="171" t="s">
        <v>771</v>
      </c>
      <c r="E517" s="172" t="s">
        <v>541</v>
      </c>
      <c r="F517" s="170">
        <v>622</v>
      </c>
      <c r="G517" s="173">
        <v>50</v>
      </c>
      <c r="H517" s="173">
        <f t="shared" si="34"/>
        <v>57.499999999999993</v>
      </c>
      <c r="I517" s="173">
        <f t="shared" ref="I517:I534" si="36">H517*F517</f>
        <v>35764.999999999993</v>
      </c>
      <c r="J517" s="173">
        <f t="shared" si="35"/>
        <v>42560.349999999991</v>
      </c>
    </row>
    <row r="518" spans="1:10" x14ac:dyDescent="0.25">
      <c r="A518" s="170" t="s">
        <v>759</v>
      </c>
      <c r="B518" s="171" t="s">
        <v>760</v>
      </c>
      <c r="C518" s="170" t="s">
        <v>1362</v>
      </c>
      <c r="D518" s="171" t="s">
        <v>1363</v>
      </c>
      <c r="E518" s="172" t="s">
        <v>541</v>
      </c>
      <c r="F518" s="170">
        <v>72</v>
      </c>
      <c r="G518" s="173">
        <v>48</v>
      </c>
      <c r="H518" s="173">
        <f t="shared" si="34"/>
        <v>55.199999999999996</v>
      </c>
      <c r="I518" s="173">
        <f t="shared" si="36"/>
        <v>3974.3999999999996</v>
      </c>
      <c r="J518" s="173">
        <f t="shared" si="35"/>
        <v>4729.5359999999991</v>
      </c>
    </row>
    <row r="519" spans="1:10" x14ac:dyDescent="0.25">
      <c r="A519" s="170" t="s">
        <v>759</v>
      </c>
      <c r="B519" s="171" t="s">
        <v>760</v>
      </c>
      <c r="C519" s="170" t="s">
        <v>1362</v>
      </c>
      <c r="D519" s="171" t="s">
        <v>766</v>
      </c>
      <c r="E519" s="172" t="s">
        <v>541</v>
      </c>
      <c r="F519" s="170">
        <v>396</v>
      </c>
      <c r="G519" s="173">
        <v>48</v>
      </c>
      <c r="H519" s="173">
        <f t="shared" si="34"/>
        <v>55.199999999999996</v>
      </c>
      <c r="I519" s="173">
        <f t="shared" si="36"/>
        <v>21859.199999999997</v>
      </c>
      <c r="J519" s="173">
        <f t="shared" si="35"/>
        <v>26012.447999999997</v>
      </c>
    </row>
    <row r="520" spans="1:10" x14ac:dyDescent="0.25">
      <c r="A520" s="170" t="s">
        <v>759</v>
      </c>
      <c r="B520" s="171" t="s">
        <v>760</v>
      </c>
      <c r="C520" s="170" t="s">
        <v>1362</v>
      </c>
      <c r="D520" s="171" t="s">
        <v>770</v>
      </c>
      <c r="E520" s="172" t="s">
        <v>541</v>
      </c>
      <c r="F520" s="170">
        <v>654</v>
      </c>
      <c r="G520" s="173">
        <v>85</v>
      </c>
      <c r="H520" s="173">
        <f t="shared" si="34"/>
        <v>97.749999999999986</v>
      </c>
      <c r="I520" s="173">
        <f t="shared" si="36"/>
        <v>63928.499999999993</v>
      </c>
      <c r="J520" s="173">
        <f t="shared" si="35"/>
        <v>76074.914999999994</v>
      </c>
    </row>
    <row r="521" spans="1:10" x14ac:dyDescent="0.25">
      <c r="A521" s="170" t="s">
        <v>759</v>
      </c>
      <c r="B521" s="171" t="s">
        <v>760</v>
      </c>
      <c r="C521" s="170" t="s">
        <v>1364</v>
      </c>
      <c r="D521" s="171" t="s">
        <v>763</v>
      </c>
      <c r="E521" s="172" t="s">
        <v>452</v>
      </c>
      <c r="F521" s="170">
        <v>57000</v>
      </c>
      <c r="G521" s="173">
        <v>0.21</v>
      </c>
      <c r="H521" s="173">
        <f t="shared" si="34"/>
        <v>0.24149999999999996</v>
      </c>
      <c r="I521" s="173">
        <f t="shared" si="36"/>
        <v>13765.499999999998</v>
      </c>
      <c r="J521" s="173">
        <f t="shared" si="35"/>
        <v>16380.944999999998</v>
      </c>
    </row>
    <row r="522" spans="1:10" x14ac:dyDescent="0.25">
      <c r="A522" s="170" t="s">
        <v>759</v>
      </c>
      <c r="B522" s="171" t="s">
        <v>760</v>
      </c>
      <c r="C522" s="170" t="s">
        <v>1365</v>
      </c>
      <c r="D522" s="171" t="s">
        <v>765</v>
      </c>
      <c r="E522" s="172" t="s">
        <v>519</v>
      </c>
      <c r="F522" s="170">
        <v>15</v>
      </c>
      <c r="G522" s="173">
        <v>1450</v>
      </c>
      <c r="H522" s="173">
        <f t="shared" si="34"/>
        <v>1667.4999999999998</v>
      </c>
      <c r="I522" s="173">
        <f t="shared" si="36"/>
        <v>25012.499999999996</v>
      </c>
      <c r="J522" s="173">
        <f t="shared" si="35"/>
        <v>29764.874999999993</v>
      </c>
    </row>
    <row r="523" spans="1:10" ht="30" x14ac:dyDescent="0.25">
      <c r="A523" s="170" t="s">
        <v>759</v>
      </c>
      <c r="B523" s="171" t="s">
        <v>760</v>
      </c>
      <c r="C523" s="170" t="s">
        <v>1365</v>
      </c>
      <c r="D523" s="171" t="s">
        <v>1366</v>
      </c>
      <c r="E523" s="172" t="s">
        <v>519</v>
      </c>
      <c r="F523" s="170">
        <v>7</v>
      </c>
      <c r="G523" s="173">
        <v>3400</v>
      </c>
      <c r="H523" s="173">
        <f t="shared" si="34"/>
        <v>3909.9999999999995</v>
      </c>
      <c r="I523" s="173">
        <f t="shared" si="36"/>
        <v>27369.999999999996</v>
      </c>
      <c r="J523" s="173">
        <f t="shared" si="35"/>
        <v>32570.299999999996</v>
      </c>
    </row>
    <row r="524" spans="1:10" x14ac:dyDescent="0.25">
      <c r="A524" s="170" t="s">
        <v>759</v>
      </c>
      <c r="B524" s="171" t="s">
        <v>760</v>
      </c>
      <c r="C524" s="170" t="s">
        <v>1367</v>
      </c>
      <c r="D524" s="171" t="s">
        <v>761</v>
      </c>
      <c r="E524" s="172" t="s">
        <v>533</v>
      </c>
      <c r="F524" s="170">
        <v>20</v>
      </c>
      <c r="G524" s="173">
        <v>35</v>
      </c>
      <c r="H524" s="173">
        <f t="shared" si="34"/>
        <v>40.25</v>
      </c>
      <c r="I524" s="173">
        <f t="shared" si="36"/>
        <v>805</v>
      </c>
      <c r="J524" s="173">
        <f t="shared" si="35"/>
        <v>957.94999999999993</v>
      </c>
    </row>
    <row r="525" spans="1:10" x14ac:dyDescent="0.25">
      <c r="A525" s="170" t="s">
        <v>759</v>
      </c>
      <c r="B525" s="171" t="s">
        <v>760</v>
      </c>
      <c r="C525" s="170" t="s">
        <v>1368</v>
      </c>
      <c r="D525" s="171" t="s">
        <v>769</v>
      </c>
      <c r="E525" s="172" t="s">
        <v>541</v>
      </c>
      <c r="F525" s="170">
        <v>668</v>
      </c>
      <c r="G525" s="173">
        <v>50</v>
      </c>
      <c r="H525" s="173">
        <f t="shared" si="34"/>
        <v>57.499999999999993</v>
      </c>
      <c r="I525" s="173">
        <f t="shared" si="36"/>
        <v>38409.999999999993</v>
      </c>
      <c r="J525" s="173">
        <f t="shared" si="35"/>
        <v>45707.899999999987</v>
      </c>
    </row>
    <row r="526" spans="1:10" x14ac:dyDescent="0.25">
      <c r="A526" s="170" t="s">
        <v>759</v>
      </c>
      <c r="B526" s="171" t="s">
        <v>760</v>
      </c>
      <c r="C526" s="170" t="s">
        <v>1362</v>
      </c>
      <c r="D526" s="171" t="s">
        <v>775</v>
      </c>
      <c r="E526" s="172" t="s">
        <v>452</v>
      </c>
      <c r="F526" s="170">
        <v>50</v>
      </c>
      <c r="G526" s="173">
        <v>28</v>
      </c>
      <c r="H526" s="173">
        <f t="shared" si="34"/>
        <v>32.199999999999996</v>
      </c>
      <c r="I526" s="173">
        <f t="shared" si="36"/>
        <v>1609.9999999999998</v>
      </c>
      <c r="J526" s="173">
        <f t="shared" si="35"/>
        <v>1915.8999999999996</v>
      </c>
    </row>
    <row r="527" spans="1:10" x14ac:dyDescent="0.25">
      <c r="A527" s="170" t="s">
        <v>759</v>
      </c>
      <c r="B527" s="171" t="s">
        <v>760</v>
      </c>
      <c r="C527" s="170" t="s">
        <v>1362</v>
      </c>
      <c r="D527" s="171" t="s">
        <v>774</v>
      </c>
      <c r="E527" s="172" t="s">
        <v>541</v>
      </c>
      <c r="F527" s="170">
        <v>24</v>
      </c>
      <c r="G527" s="173">
        <v>28</v>
      </c>
      <c r="H527" s="173">
        <f t="shared" si="34"/>
        <v>32.199999999999996</v>
      </c>
      <c r="I527" s="173">
        <f t="shared" si="36"/>
        <v>772.8</v>
      </c>
      <c r="J527" s="173">
        <f t="shared" si="35"/>
        <v>919.63199999999995</v>
      </c>
    </row>
    <row r="528" spans="1:10" x14ac:dyDescent="0.25">
      <c r="A528" s="170" t="s">
        <v>759</v>
      </c>
      <c r="B528" s="171" t="s">
        <v>760</v>
      </c>
      <c r="C528" s="170" t="s">
        <v>1362</v>
      </c>
      <c r="D528" s="171" t="s">
        <v>1369</v>
      </c>
      <c r="E528" s="172" t="s">
        <v>452</v>
      </c>
      <c r="F528" s="170">
        <v>168</v>
      </c>
      <c r="G528" s="173">
        <v>21.8</v>
      </c>
      <c r="H528" s="173">
        <f t="shared" si="34"/>
        <v>25.07</v>
      </c>
      <c r="I528" s="173">
        <f t="shared" si="36"/>
        <v>4211.76</v>
      </c>
      <c r="J528" s="173">
        <f t="shared" si="35"/>
        <v>5011.9943999999996</v>
      </c>
    </row>
    <row r="529" spans="1:10" x14ac:dyDescent="0.25">
      <c r="A529" s="170" t="s">
        <v>759</v>
      </c>
      <c r="B529" s="171" t="s">
        <v>760</v>
      </c>
      <c r="C529" s="170" t="s">
        <v>1362</v>
      </c>
      <c r="D529" s="171" t="s">
        <v>777</v>
      </c>
      <c r="E529" s="172" t="s">
        <v>452</v>
      </c>
      <c r="F529" s="170">
        <v>60</v>
      </c>
      <c r="G529" s="173">
        <v>48.65</v>
      </c>
      <c r="H529" s="173">
        <f t="shared" si="34"/>
        <v>55.947499999999991</v>
      </c>
      <c r="I529" s="173">
        <f t="shared" si="36"/>
        <v>3356.8499999999995</v>
      </c>
      <c r="J529" s="173">
        <f t="shared" si="35"/>
        <v>3994.651499999999</v>
      </c>
    </row>
    <row r="530" spans="1:10" x14ac:dyDescent="0.25">
      <c r="A530" s="170" t="s">
        <v>759</v>
      </c>
      <c r="B530" s="171" t="s">
        <v>760</v>
      </c>
      <c r="C530" s="170" t="s">
        <v>1362</v>
      </c>
      <c r="D530" s="171" t="s">
        <v>772</v>
      </c>
      <c r="E530" s="172" t="s">
        <v>541</v>
      </c>
      <c r="F530" s="170">
        <v>349</v>
      </c>
      <c r="G530" s="173">
        <v>23</v>
      </c>
      <c r="H530" s="173">
        <f t="shared" si="34"/>
        <v>26.45</v>
      </c>
      <c r="I530" s="173">
        <f t="shared" si="36"/>
        <v>9231.0499999999993</v>
      </c>
      <c r="J530" s="173">
        <f t="shared" si="35"/>
        <v>10984.949499999999</v>
      </c>
    </row>
    <row r="531" spans="1:10" x14ac:dyDescent="0.25">
      <c r="A531" s="170" t="s">
        <v>759</v>
      </c>
      <c r="B531" s="171" t="s">
        <v>760</v>
      </c>
      <c r="C531" s="170" t="s">
        <v>1368</v>
      </c>
      <c r="D531" s="171" t="s">
        <v>762</v>
      </c>
      <c r="E531" s="172" t="s">
        <v>688</v>
      </c>
      <c r="F531" s="170">
        <v>192</v>
      </c>
      <c r="G531" s="173">
        <v>16</v>
      </c>
      <c r="H531" s="173">
        <f t="shared" si="34"/>
        <v>18.399999999999999</v>
      </c>
      <c r="I531" s="173">
        <f t="shared" si="36"/>
        <v>3532.7999999999997</v>
      </c>
      <c r="J531" s="173">
        <f t="shared" si="35"/>
        <v>4204.0319999999992</v>
      </c>
    </row>
    <row r="532" spans="1:10" x14ac:dyDescent="0.25">
      <c r="A532" s="170" t="s">
        <v>759</v>
      </c>
      <c r="B532" s="171" t="s">
        <v>760</v>
      </c>
      <c r="C532" s="170" t="s">
        <v>1370</v>
      </c>
      <c r="D532" s="171" t="s">
        <v>764</v>
      </c>
      <c r="E532" s="172" t="s">
        <v>688</v>
      </c>
      <c r="F532" s="170">
        <v>20</v>
      </c>
      <c r="G532" s="173">
        <v>12.99</v>
      </c>
      <c r="H532" s="173">
        <f t="shared" si="34"/>
        <v>14.938499999999999</v>
      </c>
      <c r="I532" s="173">
        <f t="shared" si="36"/>
        <v>298.77</v>
      </c>
      <c r="J532" s="173">
        <f t="shared" si="35"/>
        <v>355.53629999999998</v>
      </c>
    </row>
    <row r="533" spans="1:10" ht="45" x14ac:dyDescent="0.25">
      <c r="A533" s="170" t="s">
        <v>759</v>
      </c>
      <c r="B533" s="171" t="s">
        <v>760</v>
      </c>
      <c r="C533" s="170" t="s">
        <v>1126</v>
      </c>
      <c r="D533" s="171" t="s">
        <v>767</v>
      </c>
      <c r="E533" s="172" t="s">
        <v>541</v>
      </c>
      <c r="F533" s="170">
        <v>264</v>
      </c>
      <c r="G533" s="173">
        <v>23</v>
      </c>
      <c r="H533" s="173">
        <f t="shared" si="34"/>
        <v>26.45</v>
      </c>
      <c r="I533" s="173">
        <f t="shared" si="36"/>
        <v>6982.8</v>
      </c>
      <c r="J533" s="173">
        <f t="shared" si="35"/>
        <v>8309.5319999999992</v>
      </c>
    </row>
    <row r="534" spans="1:10" x14ac:dyDescent="0.25">
      <c r="A534" s="170" t="s">
        <v>759</v>
      </c>
      <c r="B534" s="171" t="s">
        <v>760</v>
      </c>
      <c r="C534" s="170" t="s">
        <v>1362</v>
      </c>
      <c r="D534" s="171" t="s">
        <v>773</v>
      </c>
      <c r="E534" s="172" t="s">
        <v>452</v>
      </c>
      <c r="F534" s="170">
        <v>445</v>
      </c>
      <c r="G534" s="173">
        <v>58</v>
      </c>
      <c r="H534" s="173">
        <f t="shared" si="34"/>
        <v>66.699999999999989</v>
      </c>
      <c r="I534" s="173">
        <f t="shared" si="36"/>
        <v>29681.499999999996</v>
      </c>
      <c r="J534" s="173">
        <f t="shared" si="35"/>
        <v>35320.984999999993</v>
      </c>
    </row>
    <row r="535" spans="1:10" x14ac:dyDescent="0.25">
      <c r="A535" s="237" t="s">
        <v>1371</v>
      </c>
      <c r="B535" s="238"/>
      <c r="C535" s="238"/>
      <c r="D535" s="238"/>
      <c r="E535" s="238"/>
      <c r="F535" s="238"/>
      <c r="G535" s="238"/>
      <c r="H535" s="238"/>
      <c r="I535" s="239"/>
      <c r="J535" s="179">
        <f>SUM(J516:J534)</f>
        <v>391142.20669999992</v>
      </c>
    </row>
    <row r="536" spans="1:10" x14ac:dyDescent="0.25">
      <c r="A536" s="170" t="s">
        <v>1372</v>
      </c>
      <c r="B536" s="171" t="s">
        <v>779</v>
      </c>
      <c r="C536" s="174" t="s">
        <v>1373</v>
      </c>
      <c r="D536" s="171" t="s">
        <v>1374</v>
      </c>
      <c r="E536" s="172" t="s">
        <v>452</v>
      </c>
      <c r="F536" s="170">
        <v>25</v>
      </c>
      <c r="G536" s="173">
        <v>160</v>
      </c>
      <c r="H536" s="173">
        <f t="shared" si="34"/>
        <v>184</v>
      </c>
      <c r="I536" s="173">
        <f>H536*F536</f>
        <v>4600</v>
      </c>
      <c r="J536" s="173">
        <f t="shared" ref="J536:J544" si="37">I536*1.19</f>
        <v>5474</v>
      </c>
    </row>
    <row r="537" spans="1:10" x14ac:dyDescent="0.25">
      <c r="A537" s="170" t="s">
        <v>1372</v>
      </c>
      <c r="B537" s="171" t="s">
        <v>779</v>
      </c>
      <c r="C537" s="170" t="s">
        <v>1373</v>
      </c>
      <c r="D537" s="171" t="s">
        <v>1375</v>
      </c>
      <c r="E537" s="172" t="s">
        <v>452</v>
      </c>
      <c r="F537" s="170">
        <v>20</v>
      </c>
      <c r="G537" s="173">
        <v>68</v>
      </c>
      <c r="H537" s="173">
        <f t="shared" si="34"/>
        <v>78.199999999999989</v>
      </c>
      <c r="I537" s="173">
        <f t="shared" ref="I537:I538" si="38">H537*F537</f>
        <v>1563.9999999999998</v>
      </c>
      <c r="J537" s="173">
        <f t="shared" si="37"/>
        <v>1861.1599999999996</v>
      </c>
    </row>
    <row r="538" spans="1:10" x14ac:dyDescent="0.25">
      <c r="A538" s="170" t="s">
        <v>1372</v>
      </c>
      <c r="B538" s="171" t="s">
        <v>779</v>
      </c>
      <c r="C538" s="170" t="s">
        <v>1373</v>
      </c>
      <c r="D538" s="171" t="s">
        <v>1376</v>
      </c>
      <c r="E538" s="172" t="s">
        <v>696</v>
      </c>
      <c r="F538" s="170">
        <v>38</v>
      </c>
      <c r="G538" s="173">
        <v>190</v>
      </c>
      <c r="H538" s="173">
        <f t="shared" si="34"/>
        <v>218.49999999999997</v>
      </c>
      <c r="I538" s="173">
        <f t="shared" si="38"/>
        <v>8302.9999999999982</v>
      </c>
      <c r="J538" s="173">
        <f t="shared" si="37"/>
        <v>9880.5699999999979</v>
      </c>
    </row>
    <row r="539" spans="1:10" x14ac:dyDescent="0.25">
      <c r="A539" s="240" t="s">
        <v>1377</v>
      </c>
      <c r="B539" s="241"/>
      <c r="C539" s="241"/>
      <c r="D539" s="241"/>
      <c r="E539" s="241"/>
      <c r="F539" s="241"/>
      <c r="G539" s="241"/>
      <c r="H539" s="241"/>
      <c r="I539" s="242"/>
      <c r="J539" s="179">
        <f>SUM(J536:J538)</f>
        <v>17215.729999999996</v>
      </c>
    </row>
    <row r="540" spans="1:10" x14ac:dyDescent="0.25">
      <c r="A540" s="170" t="s">
        <v>1378</v>
      </c>
      <c r="B540" s="171" t="s">
        <v>781</v>
      </c>
      <c r="C540" s="170" t="s">
        <v>1379</v>
      </c>
      <c r="D540" s="171" t="s">
        <v>1380</v>
      </c>
      <c r="E540" s="172" t="s">
        <v>452</v>
      </c>
      <c r="F540" s="170">
        <v>1000</v>
      </c>
      <c r="G540" s="173">
        <v>7</v>
      </c>
      <c r="H540" s="173">
        <f t="shared" si="34"/>
        <v>8.0499999999999989</v>
      </c>
      <c r="I540" s="173">
        <f>H540*F540</f>
        <v>8049.9999999999991</v>
      </c>
      <c r="J540" s="173">
        <f t="shared" si="37"/>
        <v>9579.4999999999982</v>
      </c>
    </row>
    <row r="541" spans="1:10" ht="30" x14ac:dyDescent="0.25">
      <c r="A541" s="170" t="s">
        <v>1378</v>
      </c>
      <c r="B541" s="171" t="s">
        <v>781</v>
      </c>
      <c r="C541" s="170" t="s">
        <v>1379</v>
      </c>
      <c r="D541" s="171" t="s">
        <v>1381</v>
      </c>
      <c r="E541" s="172" t="s">
        <v>452</v>
      </c>
      <c r="F541" s="170">
        <v>100</v>
      </c>
      <c r="G541" s="173">
        <v>40</v>
      </c>
      <c r="H541" s="173">
        <f t="shared" si="34"/>
        <v>46</v>
      </c>
      <c r="I541" s="173">
        <f t="shared" ref="I541:I544" si="39">H541*F541</f>
        <v>4600</v>
      </c>
      <c r="J541" s="173">
        <f t="shared" si="37"/>
        <v>5474</v>
      </c>
    </row>
    <row r="542" spans="1:10" x14ac:dyDescent="0.25">
      <c r="A542" s="170" t="s">
        <v>1378</v>
      </c>
      <c r="B542" s="171" t="s">
        <v>781</v>
      </c>
      <c r="C542" s="170" t="s">
        <v>1382</v>
      </c>
      <c r="D542" s="171" t="s">
        <v>1383</v>
      </c>
      <c r="E542" s="172" t="s">
        <v>452</v>
      </c>
      <c r="F542" s="170">
        <v>20</v>
      </c>
      <c r="G542" s="173">
        <v>58</v>
      </c>
      <c r="H542" s="173">
        <f t="shared" si="34"/>
        <v>66.699999999999989</v>
      </c>
      <c r="I542" s="173">
        <f t="shared" si="39"/>
        <v>1333.9999999999998</v>
      </c>
      <c r="J542" s="173">
        <f t="shared" si="37"/>
        <v>1587.4599999999996</v>
      </c>
    </row>
    <row r="543" spans="1:10" x14ac:dyDescent="0.25">
      <c r="A543" s="170" t="s">
        <v>1378</v>
      </c>
      <c r="B543" s="171" t="s">
        <v>781</v>
      </c>
      <c r="C543" s="170" t="s">
        <v>1384</v>
      </c>
      <c r="D543" s="171" t="s">
        <v>276</v>
      </c>
      <c r="E543" s="172" t="s">
        <v>452</v>
      </c>
      <c r="F543" s="170">
        <v>44</v>
      </c>
      <c r="G543" s="173">
        <v>250</v>
      </c>
      <c r="H543" s="173">
        <f t="shared" si="34"/>
        <v>287.5</v>
      </c>
      <c r="I543" s="173">
        <f t="shared" si="39"/>
        <v>12650</v>
      </c>
      <c r="J543" s="173">
        <f t="shared" si="37"/>
        <v>15053.5</v>
      </c>
    </row>
    <row r="544" spans="1:10" x14ac:dyDescent="0.25">
      <c r="A544" s="170" t="s">
        <v>1378</v>
      </c>
      <c r="B544" s="171" t="s">
        <v>781</v>
      </c>
      <c r="C544" s="170" t="s">
        <v>1384</v>
      </c>
      <c r="D544" s="171" t="s">
        <v>1385</v>
      </c>
      <c r="E544" s="172" t="s">
        <v>452</v>
      </c>
      <c r="F544" s="170">
        <v>29</v>
      </c>
      <c r="G544" s="173">
        <v>780</v>
      </c>
      <c r="H544" s="173">
        <f t="shared" si="34"/>
        <v>896.99999999999989</v>
      </c>
      <c r="I544" s="173">
        <f t="shared" si="39"/>
        <v>26012.999999999996</v>
      </c>
      <c r="J544" s="173">
        <f t="shared" si="37"/>
        <v>30955.469999999994</v>
      </c>
    </row>
    <row r="545" spans="1:10" x14ac:dyDescent="0.25">
      <c r="A545" s="237" t="s">
        <v>1386</v>
      </c>
      <c r="B545" s="238"/>
      <c r="C545" s="238"/>
      <c r="D545" s="238"/>
      <c r="E545" s="238"/>
      <c r="F545" s="238"/>
      <c r="G545" s="238"/>
      <c r="H545" s="238"/>
      <c r="I545" s="239"/>
      <c r="J545" s="179">
        <f>SUM(J540:J544)</f>
        <v>62649.929999999993</v>
      </c>
    </row>
    <row r="546" spans="1:10" x14ac:dyDescent="0.25">
      <c r="A546" s="170" t="s">
        <v>1387</v>
      </c>
      <c r="B546" s="171" t="s">
        <v>783</v>
      </c>
      <c r="C546" s="170" t="s">
        <v>1079</v>
      </c>
      <c r="D546" s="171" t="s">
        <v>279</v>
      </c>
      <c r="E546" s="172" t="s">
        <v>452</v>
      </c>
      <c r="F546" s="170">
        <v>2</v>
      </c>
      <c r="G546" s="173">
        <v>1629.98</v>
      </c>
      <c r="H546" s="173">
        <f t="shared" si="34"/>
        <v>1874.4769999999999</v>
      </c>
      <c r="I546" s="173">
        <f>H546*F546</f>
        <v>3748.9539999999997</v>
      </c>
      <c r="J546" s="173">
        <f t="shared" ref="J546:J579" si="40">I546*1.19</f>
        <v>4461.2552599999999</v>
      </c>
    </row>
    <row r="547" spans="1:10" x14ac:dyDescent="0.25">
      <c r="A547" s="170" t="s">
        <v>1387</v>
      </c>
      <c r="B547" s="171" t="s">
        <v>783</v>
      </c>
      <c r="C547" s="174" t="s">
        <v>1388</v>
      </c>
      <c r="D547" s="171" t="s">
        <v>1389</v>
      </c>
      <c r="E547" s="172" t="s">
        <v>452</v>
      </c>
      <c r="F547" s="170">
        <v>2</v>
      </c>
      <c r="G547" s="173">
        <v>152</v>
      </c>
      <c r="H547" s="173">
        <f t="shared" si="34"/>
        <v>174.79999999999998</v>
      </c>
      <c r="I547" s="173">
        <f t="shared" ref="I547:I579" si="41">H547*F547</f>
        <v>349.59999999999997</v>
      </c>
      <c r="J547" s="173">
        <f t="shared" si="40"/>
        <v>416.02399999999994</v>
      </c>
    </row>
    <row r="548" spans="1:10" x14ac:dyDescent="0.25">
      <c r="A548" s="170" t="s">
        <v>1387</v>
      </c>
      <c r="B548" s="171" t="s">
        <v>783</v>
      </c>
      <c r="C548" s="174" t="s">
        <v>1390</v>
      </c>
      <c r="D548" s="171" t="s">
        <v>1391</v>
      </c>
      <c r="E548" s="172" t="s">
        <v>452</v>
      </c>
      <c r="F548" s="170">
        <v>1</v>
      </c>
      <c r="G548" s="173">
        <v>487.39</v>
      </c>
      <c r="H548" s="173">
        <f t="shared" si="34"/>
        <v>560.49849999999992</v>
      </c>
      <c r="I548" s="173">
        <f t="shared" si="41"/>
        <v>560.49849999999992</v>
      </c>
      <c r="J548" s="173">
        <f t="shared" si="40"/>
        <v>666.99321499999985</v>
      </c>
    </row>
    <row r="549" spans="1:10" x14ac:dyDescent="0.25">
      <c r="A549" s="170" t="s">
        <v>1387</v>
      </c>
      <c r="B549" s="171" t="s">
        <v>783</v>
      </c>
      <c r="C549" s="174" t="s">
        <v>1390</v>
      </c>
      <c r="D549" s="171" t="s">
        <v>1392</v>
      </c>
      <c r="E549" s="172" t="s">
        <v>452</v>
      </c>
      <c r="F549" s="170">
        <v>1</v>
      </c>
      <c r="G549" s="173">
        <v>695.8</v>
      </c>
      <c r="H549" s="173">
        <f t="shared" si="34"/>
        <v>800.16999999999985</v>
      </c>
      <c r="I549" s="173">
        <f t="shared" si="41"/>
        <v>800.16999999999985</v>
      </c>
      <c r="J549" s="173">
        <f t="shared" si="40"/>
        <v>952.20229999999981</v>
      </c>
    </row>
    <row r="550" spans="1:10" x14ac:dyDescent="0.25">
      <c r="A550" s="170" t="s">
        <v>1387</v>
      </c>
      <c r="B550" s="171" t="s">
        <v>783</v>
      </c>
      <c r="C550" s="174" t="s">
        <v>1390</v>
      </c>
      <c r="D550" s="171" t="s">
        <v>1393</v>
      </c>
      <c r="E550" s="172" t="s">
        <v>452</v>
      </c>
      <c r="F550" s="170">
        <v>1</v>
      </c>
      <c r="G550" s="173">
        <v>815.13</v>
      </c>
      <c r="H550" s="173">
        <f t="shared" si="34"/>
        <v>937.39949999999988</v>
      </c>
      <c r="I550" s="173">
        <f t="shared" si="41"/>
        <v>937.39949999999988</v>
      </c>
      <c r="J550" s="173">
        <f t="shared" si="40"/>
        <v>1115.5054049999999</v>
      </c>
    </row>
    <row r="551" spans="1:10" x14ac:dyDescent="0.25">
      <c r="A551" s="170" t="s">
        <v>1387</v>
      </c>
      <c r="B551" s="171" t="s">
        <v>783</v>
      </c>
      <c r="C551" s="170" t="s">
        <v>1394</v>
      </c>
      <c r="D551" s="171" t="s">
        <v>1395</v>
      </c>
      <c r="E551" s="172" t="s">
        <v>452</v>
      </c>
      <c r="F551" s="170">
        <v>1</v>
      </c>
      <c r="G551" s="173">
        <v>1300</v>
      </c>
      <c r="H551" s="173">
        <f t="shared" si="34"/>
        <v>1494.9999999999998</v>
      </c>
      <c r="I551" s="173">
        <f t="shared" si="41"/>
        <v>1494.9999999999998</v>
      </c>
      <c r="J551" s="173">
        <f t="shared" si="40"/>
        <v>1779.0499999999997</v>
      </c>
    </row>
    <row r="552" spans="1:10" ht="30" x14ac:dyDescent="0.25">
      <c r="A552" s="170" t="s">
        <v>1387</v>
      </c>
      <c r="B552" s="171" t="s">
        <v>783</v>
      </c>
      <c r="C552" s="174" t="s">
        <v>1396</v>
      </c>
      <c r="D552" s="171" t="s">
        <v>1397</v>
      </c>
      <c r="E552" s="172" t="s">
        <v>452</v>
      </c>
      <c r="F552" s="170">
        <v>1</v>
      </c>
      <c r="G552" s="173">
        <v>2100</v>
      </c>
      <c r="H552" s="173">
        <f t="shared" si="34"/>
        <v>2415</v>
      </c>
      <c r="I552" s="173">
        <f t="shared" si="41"/>
        <v>2415</v>
      </c>
      <c r="J552" s="173">
        <f t="shared" si="40"/>
        <v>2873.85</v>
      </c>
    </row>
    <row r="553" spans="1:10" ht="30" x14ac:dyDescent="0.25">
      <c r="A553" s="170" t="s">
        <v>1387</v>
      </c>
      <c r="B553" s="171" t="s">
        <v>783</v>
      </c>
      <c r="C553" s="174" t="s">
        <v>1396</v>
      </c>
      <c r="D553" s="171" t="s">
        <v>1398</v>
      </c>
      <c r="E553" s="172" t="s">
        <v>452</v>
      </c>
      <c r="F553" s="170">
        <v>1</v>
      </c>
      <c r="G553" s="173">
        <v>2020</v>
      </c>
      <c r="H553" s="173">
        <f t="shared" si="34"/>
        <v>2323</v>
      </c>
      <c r="I553" s="173">
        <f t="shared" si="41"/>
        <v>2323</v>
      </c>
      <c r="J553" s="173">
        <f t="shared" si="40"/>
        <v>2764.37</v>
      </c>
    </row>
    <row r="554" spans="1:10" ht="30" x14ac:dyDescent="0.25">
      <c r="A554" s="170" t="s">
        <v>1387</v>
      </c>
      <c r="B554" s="171" t="s">
        <v>783</v>
      </c>
      <c r="C554" s="174" t="s">
        <v>1396</v>
      </c>
      <c r="D554" s="171" t="s">
        <v>1399</v>
      </c>
      <c r="E554" s="172" t="s">
        <v>452</v>
      </c>
      <c r="F554" s="170">
        <v>2</v>
      </c>
      <c r="G554" s="173">
        <v>2100</v>
      </c>
      <c r="H554" s="173">
        <f t="shared" si="34"/>
        <v>2415</v>
      </c>
      <c r="I554" s="173">
        <f t="shared" si="41"/>
        <v>4830</v>
      </c>
      <c r="J554" s="173">
        <f t="shared" si="40"/>
        <v>5747.7</v>
      </c>
    </row>
    <row r="555" spans="1:10" x14ac:dyDescent="0.25">
      <c r="A555" s="170" t="s">
        <v>1387</v>
      </c>
      <c r="B555" s="171" t="s">
        <v>783</v>
      </c>
      <c r="C555" s="170" t="s">
        <v>1400</v>
      </c>
      <c r="D555" s="171" t="s">
        <v>1401</v>
      </c>
      <c r="E555" s="172" t="s">
        <v>452</v>
      </c>
      <c r="F555" s="170">
        <v>1</v>
      </c>
      <c r="G555" s="173">
        <v>1896.72</v>
      </c>
      <c r="H555" s="173">
        <f t="shared" si="34"/>
        <v>2181.2280000000001</v>
      </c>
      <c r="I555" s="173">
        <f t="shared" si="41"/>
        <v>2181.2280000000001</v>
      </c>
      <c r="J555" s="173">
        <f t="shared" si="40"/>
        <v>2595.6613200000002</v>
      </c>
    </row>
    <row r="556" spans="1:10" ht="30" x14ac:dyDescent="0.25">
      <c r="A556" s="170" t="s">
        <v>1387</v>
      </c>
      <c r="B556" s="171" t="s">
        <v>783</v>
      </c>
      <c r="C556" s="170" t="s">
        <v>1079</v>
      </c>
      <c r="D556" s="171" t="s">
        <v>1402</v>
      </c>
      <c r="E556" s="172" t="s">
        <v>452</v>
      </c>
      <c r="F556" s="170">
        <v>4</v>
      </c>
      <c r="G556" s="173">
        <v>146</v>
      </c>
      <c r="H556" s="173">
        <f t="shared" si="34"/>
        <v>167.89999999999998</v>
      </c>
      <c r="I556" s="173">
        <f t="shared" si="41"/>
        <v>671.59999999999991</v>
      </c>
      <c r="J556" s="173">
        <f t="shared" si="40"/>
        <v>799.20399999999984</v>
      </c>
    </row>
    <row r="557" spans="1:10" x14ac:dyDescent="0.25">
      <c r="A557" s="170" t="s">
        <v>1387</v>
      </c>
      <c r="B557" s="171" t="s">
        <v>783</v>
      </c>
      <c r="C557" s="170" t="s">
        <v>1403</v>
      </c>
      <c r="D557" s="171" t="s">
        <v>282</v>
      </c>
      <c r="E557" s="172" t="s">
        <v>452</v>
      </c>
      <c r="F557" s="170">
        <v>30</v>
      </c>
      <c r="G557" s="173">
        <v>108.36</v>
      </c>
      <c r="H557" s="173">
        <f t="shared" si="34"/>
        <v>124.61399999999999</v>
      </c>
      <c r="I557" s="173">
        <f t="shared" si="41"/>
        <v>3738.4199999999996</v>
      </c>
      <c r="J557" s="173">
        <f t="shared" si="40"/>
        <v>4448.7197999999989</v>
      </c>
    </row>
    <row r="558" spans="1:10" x14ac:dyDescent="0.25">
      <c r="A558" s="170" t="s">
        <v>1387</v>
      </c>
      <c r="B558" s="171" t="s">
        <v>783</v>
      </c>
      <c r="C558" s="174" t="s">
        <v>1404</v>
      </c>
      <c r="D558" s="171" t="s">
        <v>1405</v>
      </c>
      <c r="E558" s="172" t="s">
        <v>452</v>
      </c>
      <c r="F558" s="170">
        <v>2</v>
      </c>
      <c r="G558" s="173">
        <v>377.31</v>
      </c>
      <c r="H558" s="173">
        <f t="shared" si="34"/>
        <v>433.90649999999999</v>
      </c>
      <c r="I558" s="173">
        <f t="shared" si="41"/>
        <v>867.81299999999999</v>
      </c>
      <c r="J558" s="173">
        <f t="shared" si="40"/>
        <v>1032.6974699999998</v>
      </c>
    </row>
    <row r="559" spans="1:10" x14ac:dyDescent="0.25">
      <c r="A559" s="170" t="s">
        <v>1387</v>
      </c>
      <c r="B559" s="171" t="s">
        <v>783</v>
      </c>
      <c r="C559" s="170" t="s">
        <v>1406</v>
      </c>
      <c r="D559" s="171" t="s">
        <v>1407</v>
      </c>
      <c r="E559" s="172" t="s">
        <v>452</v>
      </c>
      <c r="F559" s="170">
        <v>2</v>
      </c>
      <c r="G559" s="173">
        <v>1320</v>
      </c>
      <c r="H559" s="173">
        <f t="shared" si="34"/>
        <v>1517.9999999999998</v>
      </c>
      <c r="I559" s="173">
        <f t="shared" si="41"/>
        <v>3035.9999999999995</v>
      </c>
      <c r="J559" s="173">
        <f t="shared" si="40"/>
        <v>3612.8399999999992</v>
      </c>
    </row>
    <row r="560" spans="1:10" x14ac:dyDescent="0.25">
      <c r="A560" s="170" t="s">
        <v>1387</v>
      </c>
      <c r="B560" s="171" t="s">
        <v>783</v>
      </c>
      <c r="C560" s="170" t="s">
        <v>1406</v>
      </c>
      <c r="D560" s="171" t="s">
        <v>1408</v>
      </c>
      <c r="E560" s="172" t="s">
        <v>452</v>
      </c>
      <c r="F560" s="170">
        <v>1</v>
      </c>
      <c r="G560" s="173">
        <v>935.49</v>
      </c>
      <c r="H560" s="173">
        <f t="shared" si="34"/>
        <v>1075.8135</v>
      </c>
      <c r="I560" s="173">
        <f t="shared" si="41"/>
        <v>1075.8135</v>
      </c>
      <c r="J560" s="173">
        <f t="shared" si="40"/>
        <v>1280.218065</v>
      </c>
    </row>
    <row r="561" spans="1:10" ht="30" x14ac:dyDescent="0.25">
      <c r="A561" s="170" t="s">
        <v>1387</v>
      </c>
      <c r="B561" s="171" t="s">
        <v>783</v>
      </c>
      <c r="C561" s="170" t="s">
        <v>1409</v>
      </c>
      <c r="D561" s="171" t="s">
        <v>1410</v>
      </c>
      <c r="E561" s="172" t="s">
        <v>452</v>
      </c>
      <c r="F561" s="170">
        <v>1</v>
      </c>
      <c r="G561" s="173">
        <v>1371</v>
      </c>
      <c r="H561" s="173">
        <f t="shared" si="34"/>
        <v>1576.6499999999999</v>
      </c>
      <c r="I561" s="173">
        <f t="shared" si="41"/>
        <v>1576.6499999999999</v>
      </c>
      <c r="J561" s="173">
        <f t="shared" si="40"/>
        <v>1876.2134999999998</v>
      </c>
    </row>
    <row r="562" spans="1:10" ht="30" x14ac:dyDescent="0.25">
      <c r="A562" s="170" t="s">
        <v>1387</v>
      </c>
      <c r="B562" s="171" t="s">
        <v>783</v>
      </c>
      <c r="C562" s="170" t="s">
        <v>1409</v>
      </c>
      <c r="D562" s="171" t="s">
        <v>1411</v>
      </c>
      <c r="E562" s="172" t="s">
        <v>452</v>
      </c>
      <c r="F562" s="170">
        <v>4</v>
      </c>
      <c r="G562" s="173">
        <v>1030</v>
      </c>
      <c r="H562" s="173">
        <f t="shared" si="34"/>
        <v>1184.5</v>
      </c>
      <c r="I562" s="173">
        <f t="shared" si="41"/>
        <v>4738</v>
      </c>
      <c r="J562" s="173">
        <f t="shared" si="40"/>
        <v>5638.2199999999993</v>
      </c>
    </row>
    <row r="563" spans="1:10" x14ac:dyDescent="0.25">
      <c r="A563" s="170" t="s">
        <v>1387</v>
      </c>
      <c r="B563" s="171" t="s">
        <v>783</v>
      </c>
      <c r="C563" s="174" t="s">
        <v>1412</v>
      </c>
      <c r="D563" s="171" t="s">
        <v>1413</v>
      </c>
      <c r="E563" s="172" t="s">
        <v>452</v>
      </c>
      <c r="F563" s="170">
        <v>1</v>
      </c>
      <c r="G563" s="173">
        <v>2090</v>
      </c>
      <c r="H563" s="173">
        <f t="shared" si="34"/>
        <v>2403.5</v>
      </c>
      <c r="I563" s="173">
        <f t="shared" si="41"/>
        <v>2403.5</v>
      </c>
      <c r="J563" s="173">
        <f t="shared" si="40"/>
        <v>2860.165</v>
      </c>
    </row>
    <row r="564" spans="1:10" x14ac:dyDescent="0.25">
      <c r="A564" s="170" t="s">
        <v>1387</v>
      </c>
      <c r="B564" s="171" t="s">
        <v>783</v>
      </c>
      <c r="C564" s="174" t="s">
        <v>1414</v>
      </c>
      <c r="D564" s="171" t="s">
        <v>1415</v>
      </c>
      <c r="E564" s="172" t="s">
        <v>452</v>
      </c>
      <c r="F564" s="170">
        <v>1</v>
      </c>
      <c r="G564" s="173">
        <v>840.34</v>
      </c>
      <c r="H564" s="173">
        <f t="shared" si="34"/>
        <v>966.39099999999996</v>
      </c>
      <c r="I564" s="173">
        <f t="shared" si="41"/>
        <v>966.39099999999996</v>
      </c>
      <c r="J564" s="173">
        <f t="shared" si="40"/>
        <v>1150.0052899999998</v>
      </c>
    </row>
    <row r="565" spans="1:10" x14ac:dyDescent="0.25">
      <c r="A565" s="170" t="s">
        <v>1387</v>
      </c>
      <c r="B565" s="171" t="s">
        <v>783</v>
      </c>
      <c r="C565" s="170" t="s">
        <v>1416</v>
      </c>
      <c r="D565" s="171" t="s">
        <v>272</v>
      </c>
      <c r="E565" s="172" t="s">
        <v>452</v>
      </c>
      <c r="F565" s="170">
        <v>2</v>
      </c>
      <c r="G565" s="173">
        <v>2100</v>
      </c>
      <c r="H565" s="173">
        <f t="shared" si="34"/>
        <v>2415</v>
      </c>
      <c r="I565" s="173">
        <f t="shared" si="41"/>
        <v>4830</v>
      </c>
      <c r="J565" s="173">
        <f t="shared" si="40"/>
        <v>5747.7</v>
      </c>
    </row>
    <row r="566" spans="1:10" x14ac:dyDescent="0.25">
      <c r="A566" s="170" t="s">
        <v>1387</v>
      </c>
      <c r="B566" s="171" t="s">
        <v>783</v>
      </c>
      <c r="C566" s="174" t="s">
        <v>1417</v>
      </c>
      <c r="D566" s="171" t="s">
        <v>1418</v>
      </c>
      <c r="E566" s="172" t="s">
        <v>452</v>
      </c>
      <c r="F566" s="170">
        <v>4</v>
      </c>
      <c r="G566" s="173">
        <v>839.5</v>
      </c>
      <c r="H566" s="173">
        <f t="shared" si="34"/>
        <v>965.42499999999995</v>
      </c>
      <c r="I566" s="173">
        <f t="shared" si="41"/>
        <v>3861.7</v>
      </c>
      <c r="J566" s="173">
        <f t="shared" si="40"/>
        <v>4595.4229999999998</v>
      </c>
    </row>
    <row r="567" spans="1:10" x14ac:dyDescent="0.25">
      <c r="A567" s="170" t="s">
        <v>1387</v>
      </c>
      <c r="B567" s="171" t="s">
        <v>783</v>
      </c>
      <c r="C567" s="170" t="s">
        <v>1403</v>
      </c>
      <c r="D567" s="171" t="s">
        <v>1419</v>
      </c>
      <c r="E567" s="172" t="s">
        <v>452</v>
      </c>
      <c r="F567" s="170">
        <v>2</v>
      </c>
      <c r="G567" s="173">
        <v>154.5</v>
      </c>
      <c r="H567" s="173">
        <f t="shared" si="34"/>
        <v>177.67499999999998</v>
      </c>
      <c r="I567" s="173">
        <f t="shared" si="41"/>
        <v>355.34999999999997</v>
      </c>
      <c r="J567" s="173">
        <f t="shared" si="40"/>
        <v>422.86649999999992</v>
      </c>
    </row>
    <row r="568" spans="1:10" x14ac:dyDescent="0.25">
      <c r="A568" s="170" t="s">
        <v>1387</v>
      </c>
      <c r="B568" s="171" t="s">
        <v>783</v>
      </c>
      <c r="C568" s="170" t="s">
        <v>1420</v>
      </c>
      <c r="D568" s="171" t="s">
        <v>1421</v>
      </c>
      <c r="E568" s="172" t="s">
        <v>452</v>
      </c>
      <c r="F568" s="170">
        <v>4</v>
      </c>
      <c r="G568" s="173">
        <v>156.71</v>
      </c>
      <c r="H568" s="173">
        <f t="shared" si="34"/>
        <v>180.2165</v>
      </c>
      <c r="I568" s="173">
        <f t="shared" si="41"/>
        <v>720.86599999999999</v>
      </c>
      <c r="J568" s="173">
        <f t="shared" si="40"/>
        <v>857.83053999999993</v>
      </c>
    </row>
    <row r="569" spans="1:10" x14ac:dyDescent="0.25">
      <c r="A569" s="170" t="s">
        <v>1387</v>
      </c>
      <c r="B569" s="171" t="s">
        <v>783</v>
      </c>
      <c r="C569" s="170" t="s">
        <v>1422</v>
      </c>
      <c r="D569" s="171" t="s">
        <v>1423</v>
      </c>
      <c r="E569" s="172" t="s">
        <v>452</v>
      </c>
      <c r="F569" s="170">
        <v>6</v>
      </c>
      <c r="G569" s="173">
        <v>1200</v>
      </c>
      <c r="H569" s="173">
        <f t="shared" si="34"/>
        <v>1380</v>
      </c>
      <c r="I569" s="173">
        <f t="shared" si="41"/>
        <v>8280</v>
      </c>
      <c r="J569" s="173">
        <f t="shared" si="40"/>
        <v>9853.1999999999989</v>
      </c>
    </row>
    <row r="570" spans="1:10" x14ac:dyDescent="0.25">
      <c r="A570" s="170" t="s">
        <v>1387</v>
      </c>
      <c r="B570" s="171" t="s">
        <v>783</v>
      </c>
      <c r="C570" s="170" t="s">
        <v>1422</v>
      </c>
      <c r="D570" s="171" t="s">
        <v>1424</v>
      </c>
      <c r="E570" s="172" t="s">
        <v>452</v>
      </c>
      <c r="F570" s="170">
        <v>30</v>
      </c>
      <c r="G570" s="173">
        <v>113.45</v>
      </c>
      <c r="H570" s="173">
        <f t="shared" si="34"/>
        <v>130.4675</v>
      </c>
      <c r="I570" s="173">
        <f t="shared" si="41"/>
        <v>3914.0250000000001</v>
      </c>
      <c r="J570" s="173">
        <f t="shared" si="40"/>
        <v>4657.6897499999995</v>
      </c>
    </row>
    <row r="571" spans="1:10" x14ac:dyDescent="0.25">
      <c r="A571" s="170" t="s">
        <v>1387</v>
      </c>
      <c r="B571" s="171" t="s">
        <v>783</v>
      </c>
      <c r="C571" s="174" t="s">
        <v>1425</v>
      </c>
      <c r="D571" s="171" t="s">
        <v>1426</v>
      </c>
      <c r="E571" s="172" t="s">
        <v>452</v>
      </c>
      <c r="F571" s="170">
        <v>1</v>
      </c>
      <c r="G571" s="173">
        <v>979.83</v>
      </c>
      <c r="H571" s="173">
        <f t="shared" si="34"/>
        <v>1126.8045</v>
      </c>
      <c r="I571" s="173">
        <f t="shared" si="41"/>
        <v>1126.8045</v>
      </c>
      <c r="J571" s="173">
        <f t="shared" si="40"/>
        <v>1340.8973549999998</v>
      </c>
    </row>
    <row r="572" spans="1:10" x14ac:dyDescent="0.25">
      <c r="A572" s="170" t="s">
        <v>1387</v>
      </c>
      <c r="B572" s="171" t="s">
        <v>783</v>
      </c>
      <c r="C572" s="174" t="s">
        <v>1427</v>
      </c>
      <c r="D572" s="171" t="s">
        <v>1428</v>
      </c>
      <c r="E572" s="172" t="s">
        <v>452</v>
      </c>
      <c r="F572" s="170">
        <v>21</v>
      </c>
      <c r="G572" s="173">
        <v>740</v>
      </c>
      <c r="H572" s="173">
        <f t="shared" si="34"/>
        <v>850.99999999999989</v>
      </c>
      <c r="I572" s="173">
        <f t="shared" si="41"/>
        <v>17870.999999999996</v>
      </c>
      <c r="J572" s="173">
        <f t="shared" si="40"/>
        <v>21266.489999999994</v>
      </c>
    </row>
    <row r="573" spans="1:10" x14ac:dyDescent="0.25">
      <c r="A573" s="170" t="s">
        <v>1387</v>
      </c>
      <c r="B573" s="171" t="s">
        <v>783</v>
      </c>
      <c r="C573" s="170" t="s">
        <v>1079</v>
      </c>
      <c r="D573" s="171" t="s">
        <v>277</v>
      </c>
      <c r="E573" s="172" t="s">
        <v>452</v>
      </c>
      <c r="F573" s="170">
        <v>6</v>
      </c>
      <c r="G573" s="173">
        <v>220</v>
      </c>
      <c r="H573" s="173">
        <f t="shared" si="34"/>
        <v>252.99999999999997</v>
      </c>
      <c r="I573" s="173">
        <f t="shared" si="41"/>
        <v>1517.9999999999998</v>
      </c>
      <c r="J573" s="173">
        <f t="shared" si="40"/>
        <v>1806.4199999999996</v>
      </c>
    </row>
    <row r="574" spans="1:10" ht="30" x14ac:dyDescent="0.25">
      <c r="A574" s="170" t="s">
        <v>1387</v>
      </c>
      <c r="B574" s="171" t="s">
        <v>783</v>
      </c>
      <c r="C574" s="170" t="s">
        <v>1429</v>
      </c>
      <c r="D574" s="171" t="s">
        <v>1430</v>
      </c>
      <c r="E574" s="172" t="s">
        <v>452</v>
      </c>
      <c r="F574" s="170">
        <v>4</v>
      </c>
      <c r="G574" s="173">
        <v>71.22</v>
      </c>
      <c r="H574" s="173">
        <f t="shared" si="34"/>
        <v>81.902999999999992</v>
      </c>
      <c r="I574" s="173">
        <f t="shared" si="41"/>
        <v>327.61199999999997</v>
      </c>
      <c r="J574" s="173">
        <f t="shared" si="40"/>
        <v>389.85827999999992</v>
      </c>
    </row>
    <row r="575" spans="1:10" x14ac:dyDescent="0.25">
      <c r="A575" s="170" t="s">
        <v>1387</v>
      </c>
      <c r="B575" s="171" t="s">
        <v>783</v>
      </c>
      <c r="C575" s="170" t="s">
        <v>1431</v>
      </c>
      <c r="D575" s="171" t="s">
        <v>1432</v>
      </c>
      <c r="E575" s="172" t="s">
        <v>452</v>
      </c>
      <c r="F575" s="170">
        <v>2</v>
      </c>
      <c r="G575" s="173">
        <v>850</v>
      </c>
      <c r="H575" s="173">
        <f t="shared" si="34"/>
        <v>977.49999999999989</v>
      </c>
      <c r="I575" s="173">
        <f t="shared" si="41"/>
        <v>1954.9999999999998</v>
      </c>
      <c r="J575" s="173">
        <f t="shared" si="40"/>
        <v>2326.4499999999998</v>
      </c>
    </row>
    <row r="576" spans="1:10" x14ac:dyDescent="0.25">
      <c r="A576" s="170" t="s">
        <v>1387</v>
      </c>
      <c r="B576" s="171" t="s">
        <v>783</v>
      </c>
      <c r="C576" s="170" t="s">
        <v>1431</v>
      </c>
      <c r="D576" s="171" t="s">
        <v>1433</v>
      </c>
      <c r="E576" s="172" t="s">
        <v>452</v>
      </c>
      <c r="F576" s="170">
        <v>2</v>
      </c>
      <c r="G576" s="173">
        <v>410</v>
      </c>
      <c r="H576" s="173">
        <f t="shared" si="34"/>
        <v>471.49999999999994</v>
      </c>
      <c r="I576" s="173">
        <f t="shared" si="41"/>
        <v>942.99999999999989</v>
      </c>
      <c r="J576" s="173">
        <f t="shared" si="40"/>
        <v>1122.1699999999998</v>
      </c>
    </row>
    <row r="577" spans="1:10" x14ac:dyDescent="0.25">
      <c r="A577" s="170" t="s">
        <v>1387</v>
      </c>
      <c r="B577" s="171" t="s">
        <v>783</v>
      </c>
      <c r="C577" s="174" t="s">
        <v>1434</v>
      </c>
      <c r="D577" s="171" t="s">
        <v>1435</v>
      </c>
      <c r="E577" s="172" t="s">
        <v>452</v>
      </c>
      <c r="F577" s="170">
        <v>2</v>
      </c>
      <c r="G577" s="173">
        <v>890</v>
      </c>
      <c r="H577" s="173">
        <f t="shared" si="34"/>
        <v>1023.4999999999999</v>
      </c>
      <c r="I577" s="173">
        <f t="shared" si="41"/>
        <v>2046.9999999999998</v>
      </c>
      <c r="J577" s="173">
        <f t="shared" si="40"/>
        <v>2435.9299999999998</v>
      </c>
    </row>
    <row r="578" spans="1:10" x14ac:dyDescent="0.25">
      <c r="A578" s="170" t="s">
        <v>1387</v>
      </c>
      <c r="B578" s="171" t="s">
        <v>783</v>
      </c>
      <c r="C578" s="174" t="s">
        <v>1434</v>
      </c>
      <c r="D578" s="171" t="s">
        <v>1436</v>
      </c>
      <c r="E578" s="172" t="s">
        <v>452</v>
      </c>
      <c r="F578" s="170">
        <v>2</v>
      </c>
      <c r="G578" s="173">
        <v>410</v>
      </c>
      <c r="H578" s="173">
        <f t="shared" si="34"/>
        <v>471.49999999999994</v>
      </c>
      <c r="I578" s="173">
        <f t="shared" si="41"/>
        <v>942.99999999999989</v>
      </c>
      <c r="J578" s="173">
        <f t="shared" si="40"/>
        <v>1122.1699999999998</v>
      </c>
    </row>
    <row r="579" spans="1:10" ht="30" x14ac:dyDescent="0.25">
      <c r="A579" s="170" t="s">
        <v>1387</v>
      </c>
      <c r="B579" s="171" t="s">
        <v>783</v>
      </c>
      <c r="C579" s="170" t="s">
        <v>1437</v>
      </c>
      <c r="D579" s="171" t="s">
        <v>1438</v>
      </c>
      <c r="E579" s="172" t="s">
        <v>452</v>
      </c>
      <c r="F579" s="170">
        <v>1</v>
      </c>
      <c r="G579" s="173">
        <v>1995</v>
      </c>
      <c r="H579" s="173">
        <f t="shared" si="34"/>
        <v>2294.25</v>
      </c>
      <c r="I579" s="173">
        <f t="shared" si="41"/>
        <v>2294.25</v>
      </c>
      <c r="J579" s="173">
        <f t="shared" si="40"/>
        <v>2730.1574999999998</v>
      </c>
    </row>
    <row r="580" spans="1:10" x14ac:dyDescent="0.25">
      <c r="A580" s="237" t="s">
        <v>1439</v>
      </c>
      <c r="B580" s="238"/>
      <c r="C580" s="238"/>
      <c r="D580" s="238"/>
      <c r="E580" s="238"/>
      <c r="F580" s="238"/>
      <c r="G580" s="238"/>
      <c r="H580" s="238"/>
      <c r="I580" s="239"/>
      <c r="J580" s="179">
        <f>SUM(J546:J579)</f>
        <v>106746.14754999998</v>
      </c>
    </row>
    <row r="581" spans="1:10" ht="30" x14ac:dyDescent="0.25">
      <c r="A581" s="170" t="s">
        <v>787</v>
      </c>
      <c r="B581" s="171" t="s">
        <v>788</v>
      </c>
      <c r="C581" s="170" t="s">
        <v>1440</v>
      </c>
      <c r="D581" s="171" t="s">
        <v>821</v>
      </c>
      <c r="E581" s="172" t="s">
        <v>452</v>
      </c>
      <c r="F581" s="170">
        <v>25</v>
      </c>
      <c r="G581" s="173">
        <v>112.5</v>
      </c>
      <c r="H581" s="173">
        <f t="shared" ref="H581:H626" si="42">G581*1.15</f>
        <v>129.375</v>
      </c>
      <c r="I581" s="173">
        <f>H581*F581</f>
        <v>3234.375</v>
      </c>
      <c r="J581" s="173">
        <f t="shared" ref="J581:J624" si="43">I581*1.19</f>
        <v>3848.90625</v>
      </c>
    </row>
    <row r="582" spans="1:10" x14ac:dyDescent="0.25">
      <c r="A582" s="170" t="s">
        <v>787</v>
      </c>
      <c r="B582" s="171" t="s">
        <v>788</v>
      </c>
      <c r="C582" s="170" t="s">
        <v>1440</v>
      </c>
      <c r="D582" s="171" t="s">
        <v>815</v>
      </c>
      <c r="E582" s="172" t="s">
        <v>452</v>
      </c>
      <c r="F582" s="170">
        <v>150</v>
      </c>
      <c r="G582" s="173">
        <v>5.5</v>
      </c>
      <c r="H582" s="173">
        <f t="shared" si="42"/>
        <v>6.3249999999999993</v>
      </c>
      <c r="I582" s="173">
        <f t="shared" ref="I582:I624" si="44">H582*F582</f>
        <v>948.74999999999989</v>
      </c>
      <c r="J582" s="173">
        <f t="shared" si="43"/>
        <v>1129.0124999999998</v>
      </c>
    </row>
    <row r="583" spans="1:10" x14ac:dyDescent="0.25">
      <c r="A583" s="170" t="s">
        <v>787</v>
      </c>
      <c r="B583" s="171" t="s">
        <v>788</v>
      </c>
      <c r="C583" s="170" t="s">
        <v>1440</v>
      </c>
      <c r="D583" s="171" t="s">
        <v>814</v>
      </c>
      <c r="E583" s="172" t="s">
        <v>452</v>
      </c>
      <c r="F583" s="170">
        <v>6</v>
      </c>
      <c r="G583" s="173">
        <v>27</v>
      </c>
      <c r="H583" s="173">
        <f t="shared" si="42"/>
        <v>31.049999999999997</v>
      </c>
      <c r="I583" s="173">
        <f t="shared" si="44"/>
        <v>186.29999999999998</v>
      </c>
      <c r="J583" s="173">
        <f t="shared" si="43"/>
        <v>221.69699999999997</v>
      </c>
    </row>
    <row r="584" spans="1:10" x14ac:dyDescent="0.25">
      <c r="A584" s="170" t="s">
        <v>787</v>
      </c>
      <c r="B584" s="171" t="s">
        <v>788</v>
      </c>
      <c r="C584" s="170" t="s">
        <v>1440</v>
      </c>
      <c r="D584" s="171" t="s">
        <v>819</v>
      </c>
      <c r="E584" s="172" t="s">
        <v>452</v>
      </c>
      <c r="F584" s="170">
        <v>1500</v>
      </c>
      <c r="G584" s="173">
        <v>0.15</v>
      </c>
      <c r="H584" s="173">
        <f t="shared" si="42"/>
        <v>0.17249999999999999</v>
      </c>
      <c r="I584" s="173">
        <f t="shared" si="44"/>
        <v>258.75</v>
      </c>
      <c r="J584" s="173">
        <f t="shared" si="43"/>
        <v>307.91249999999997</v>
      </c>
    </row>
    <row r="585" spans="1:10" x14ac:dyDescent="0.25">
      <c r="A585" s="170" t="s">
        <v>787</v>
      </c>
      <c r="B585" s="171" t="s">
        <v>788</v>
      </c>
      <c r="C585" s="170" t="s">
        <v>1440</v>
      </c>
      <c r="D585" s="171" t="s">
        <v>819</v>
      </c>
      <c r="E585" s="172" t="s">
        <v>452</v>
      </c>
      <c r="F585" s="170">
        <v>7</v>
      </c>
      <c r="G585" s="173">
        <v>112.5</v>
      </c>
      <c r="H585" s="173">
        <f t="shared" si="42"/>
        <v>129.375</v>
      </c>
      <c r="I585" s="173">
        <f t="shared" si="44"/>
        <v>905.625</v>
      </c>
      <c r="J585" s="173">
        <f t="shared" si="43"/>
        <v>1077.6937499999999</v>
      </c>
    </row>
    <row r="586" spans="1:10" x14ac:dyDescent="0.25">
      <c r="A586" s="170" t="s">
        <v>787</v>
      </c>
      <c r="B586" s="171" t="s">
        <v>788</v>
      </c>
      <c r="C586" s="170" t="s">
        <v>1440</v>
      </c>
      <c r="D586" s="171" t="s">
        <v>810</v>
      </c>
      <c r="E586" s="172" t="s">
        <v>533</v>
      </c>
      <c r="F586" s="170">
        <v>2</v>
      </c>
      <c r="G586" s="173">
        <v>332.94</v>
      </c>
      <c r="H586" s="173">
        <f t="shared" si="42"/>
        <v>382.88099999999997</v>
      </c>
      <c r="I586" s="173">
        <f t="shared" si="44"/>
        <v>765.76199999999994</v>
      </c>
      <c r="J586" s="173">
        <f t="shared" si="43"/>
        <v>911.25677999999994</v>
      </c>
    </row>
    <row r="587" spans="1:10" x14ac:dyDescent="0.25">
      <c r="A587" s="170" t="s">
        <v>787</v>
      </c>
      <c r="B587" s="171" t="s">
        <v>788</v>
      </c>
      <c r="C587" s="174" t="s">
        <v>1043</v>
      </c>
      <c r="D587" s="171" t="s">
        <v>805</v>
      </c>
      <c r="E587" s="172" t="s">
        <v>452</v>
      </c>
      <c r="F587" s="170">
        <v>5</v>
      </c>
      <c r="G587" s="173">
        <v>600</v>
      </c>
      <c r="H587" s="173">
        <f t="shared" si="42"/>
        <v>690</v>
      </c>
      <c r="I587" s="173">
        <f t="shared" si="44"/>
        <v>3450</v>
      </c>
      <c r="J587" s="173">
        <f t="shared" si="43"/>
        <v>4105.5</v>
      </c>
    </row>
    <row r="588" spans="1:10" x14ac:dyDescent="0.25">
      <c r="A588" s="170" t="s">
        <v>787</v>
      </c>
      <c r="B588" s="171" t="s">
        <v>788</v>
      </c>
      <c r="C588" s="174" t="s">
        <v>1043</v>
      </c>
      <c r="D588" s="171" t="s">
        <v>1441</v>
      </c>
      <c r="E588" s="172" t="s">
        <v>452</v>
      </c>
      <c r="F588" s="170">
        <v>1</v>
      </c>
      <c r="G588" s="173">
        <v>590</v>
      </c>
      <c r="H588" s="173">
        <f t="shared" si="42"/>
        <v>678.5</v>
      </c>
      <c r="I588" s="173">
        <f t="shared" si="44"/>
        <v>678.5</v>
      </c>
      <c r="J588" s="173">
        <f t="shared" si="43"/>
        <v>807.41499999999996</v>
      </c>
    </row>
    <row r="589" spans="1:10" x14ac:dyDescent="0.25">
      <c r="A589" s="170" t="s">
        <v>787</v>
      </c>
      <c r="B589" s="171" t="s">
        <v>788</v>
      </c>
      <c r="C589" s="174" t="s">
        <v>1043</v>
      </c>
      <c r="D589" s="171" t="s">
        <v>792</v>
      </c>
      <c r="E589" s="172" t="s">
        <v>688</v>
      </c>
      <c r="F589" s="170">
        <v>60</v>
      </c>
      <c r="G589" s="173">
        <v>7</v>
      </c>
      <c r="H589" s="173">
        <f t="shared" si="42"/>
        <v>8.0499999999999989</v>
      </c>
      <c r="I589" s="173">
        <f t="shared" si="44"/>
        <v>482.99999999999994</v>
      </c>
      <c r="J589" s="173">
        <f t="shared" si="43"/>
        <v>574.76999999999987</v>
      </c>
    </row>
    <row r="590" spans="1:10" x14ac:dyDescent="0.25">
      <c r="A590" s="170" t="s">
        <v>787</v>
      </c>
      <c r="B590" s="171" t="s">
        <v>788</v>
      </c>
      <c r="C590" s="170" t="s">
        <v>1442</v>
      </c>
      <c r="D590" s="171" t="s">
        <v>1443</v>
      </c>
      <c r="E590" s="172" t="s">
        <v>452</v>
      </c>
      <c r="F590" s="170">
        <v>16</v>
      </c>
      <c r="G590" s="173">
        <v>145</v>
      </c>
      <c r="H590" s="173">
        <f t="shared" si="42"/>
        <v>166.75</v>
      </c>
      <c r="I590" s="173">
        <f t="shared" si="44"/>
        <v>2668</v>
      </c>
      <c r="J590" s="173">
        <f t="shared" si="43"/>
        <v>3174.92</v>
      </c>
    </row>
    <row r="591" spans="1:10" x14ac:dyDescent="0.25">
      <c r="A591" s="170" t="s">
        <v>787</v>
      </c>
      <c r="B591" s="171" t="s">
        <v>788</v>
      </c>
      <c r="C591" s="170" t="s">
        <v>1444</v>
      </c>
      <c r="D591" s="171" t="s">
        <v>1445</v>
      </c>
      <c r="E591" s="172" t="s">
        <v>452</v>
      </c>
      <c r="F591" s="170">
        <v>10</v>
      </c>
      <c r="G591" s="173">
        <v>25</v>
      </c>
      <c r="H591" s="173">
        <f t="shared" si="42"/>
        <v>28.749999999999996</v>
      </c>
      <c r="I591" s="173">
        <f t="shared" si="44"/>
        <v>287.49999999999994</v>
      </c>
      <c r="J591" s="173">
        <f t="shared" si="43"/>
        <v>342.12499999999994</v>
      </c>
    </row>
    <row r="592" spans="1:10" x14ac:dyDescent="0.25">
      <c r="A592" s="170" t="s">
        <v>787</v>
      </c>
      <c r="B592" s="171" t="s">
        <v>788</v>
      </c>
      <c r="C592" s="170" t="s">
        <v>1444</v>
      </c>
      <c r="D592" s="171" t="s">
        <v>796</v>
      </c>
      <c r="E592" s="172" t="s">
        <v>452</v>
      </c>
      <c r="F592" s="170">
        <v>50</v>
      </c>
      <c r="G592" s="173">
        <v>36</v>
      </c>
      <c r="H592" s="173">
        <f t="shared" si="42"/>
        <v>41.4</v>
      </c>
      <c r="I592" s="173">
        <f t="shared" si="44"/>
        <v>2070</v>
      </c>
      <c r="J592" s="173">
        <f t="shared" si="43"/>
        <v>2463.2999999999997</v>
      </c>
    </row>
    <row r="593" spans="1:10" ht="30" x14ac:dyDescent="0.25">
      <c r="A593" s="170" t="s">
        <v>787</v>
      </c>
      <c r="B593" s="171" t="s">
        <v>788</v>
      </c>
      <c r="C593" s="170" t="s">
        <v>1353</v>
      </c>
      <c r="D593" s="171" t="s">
        <v>776</v>
      </c>
      <c r="E593" s="172" t="s">
        <v>452</v>
      </c>
      <c r="F593" s="170">
        <v>280</v>
      </c>
      <c r="G593" s="173">
        <v>17</v>
      </c>
      <c r="H593" s="173">
        <f t="shared" si="42"/>
        <v>19.549999999999997</v>
      </c>
      <c r="I593" s="173">
        <f t="shared" si="44"/>
        <v>5473.9999999999991</v>
      </c>
      <c r="J593" s="173">
        <f t="shared" si="43"/>
        <v>6514.0599999999986</v>
      </c>
    </row>
    <row r="594" spans="1:10" ht="30" x14ac:dyDescent="0.25">
      <c r="A594" s="170" t="s">
        <v>787</v>
      </c>
      <c r="B594" s="171" t="s">
        <v>788</v>
      </c>
      <c r="C594" s="170" t="s">
        <v>1353</v>
      </c>
      <c r="D594" s="171" t="s">
        <v>776</v>
      </c>
      <c r="E594" s="172" t="s">
        <v>452</v>
      </c>
      <c r="F594" s="170">
        <v>50</v>
      </c>
      <c r="G594" s="173">
        <v>60</v>
      </c>
      <c r="H594" s="173">
        <f t="shared" si="42"/>
        <v>69</v>
      </c>
      <c r="I594" s="173">
        <f t="shared" si="44"/>
        <v>3450</v>
      </c>
      <c r="J594" s="173">
        <f t="shared" si="43"/>
        <v>4105.5</v>
      </c>
    </row>
    <row r="595" spans="1:10" ht="30" x14ac:dyDescent="0.25">
      <c r="A595" s="170" t="s">
        <v>787</v>
      </c>
      <c r="B595" s="171" t="s">
        <v>788</v>
      </c>
      <c r="C595" s="170" t="s">
        <v>1353</v>
      </c>
      <c r="D595" s="171" t="s">
        <v>776</v>
      </c>
      <c r="E595" s="172" t="s">
        <v>452</v>
      </c>
      <c r="F595" s="170">
        <v>4</v>
      </c>
      <c r="G595" s="173">
        <v>3000</v>
      </c>
      <c r="H595" s="173">
        <f t="shared" si="42"/>
        <v>3449.9999999999995</v>
      </c>
      <c r="I595" s="173">
        <f t="shared" si="44"/>
        <v>13799.999999999998</v>
      </c>
      <c r="J595" s="173">
        <f t="shared" si="43"/>
        <v>16421.999999999996</v>
      </c>
    </row>
    <row r="596" spans="1:10" x14ac:dyDescent="0.25">
      <c r="A596" s="170" t="s">
        <v>787</v>
      </c>
      <c r="B596" s="171" t="s">
        <v>788</v>
      </c>
      <c r="C596" s="170" t="s">
        <v>1353</v>
      </c>
      <c r="D596" s="171" t="s">
        <v>791</v>
      </c>
      <c r="E596" s="172" t="s">
        <v>519</v>
      </c>
      <c r="F596" s="170">
        <v>14500</v>
      </c>
      <c r="G596" s="173">
        <v>0.11</v>
      </c>
      <c r="H596" s="173">
        <f t="shared" si="42"/>
        <v>0.1265</v>
      </c>
      <c r="I596" s="173">
        <f t="shared" si="44"/>
        <v>1834.25</v>
      </c>
      <c r="J596" s="173">
        <f t="shared" si="43"/>
        <v>2182.7574999999997</v>
      </c>
    </row>
    <row r="597" spans="1:10" x14ac:dyDescent="0.25">
      <c r="A597" s="170" t="s">
        <v>787</v>
      </c>
      <c r="B597" s="171" t="s">
        <v>788</v>
      </c>
      <c r="C597" s="170" t="s">
        <v>1353</v>
      </c>
      <c r="D597" s="171" t="s">
        <v>791</v>
      </c>
      <c r="E597" s="172" t="s">
        <v>519</v>
      </c>
      <c r="F597" s="170">
        <v>2</v>
      </c>
      <c r="G597" s="173">
        <v>350</v>
      </c>
      <c r="H597" s="173">
        <f t="shared" si="42"/>
        <v>402.49999999999994</v>
      </c>
      <c r="I597" s="173">
        <f t="shared" si="44"/>
        <v>804.99999999999989</v>
      </c>
      <c r="J597" s="173">
        <f t="shared" si="43"/>
        <v>957.94999999999982</v>
      </c>
    </row>
    <row r="598" spans="1:10" x14ac:dyDescent="0.25">
      <c r="A598" s="170" t="s">
        <v>787</v>
      </c>
      <c r="B598" s="171" t="s">
        <v>788</v>
      </c>
      <c r="C598" s="170" t="s">
        <v>1353</v>
      </c>
      <c r="D598" s="171" t="s">
        <v>801</v>
      </c>
      <c r="E598" s="172" t="s">
        <v>519</v>
      </c>
      <c r="F598" s="170">
        <v>4</v>
      </c>
      <c r="G598" s="173">
        <v>55</v>
      </c>
      <c r="H598" s="173">
        <f t="shared" si="42"/>
        <v>63.249999999999993</v>
      </c>
      <c r="I598" s="173">
        <f t="shared" si="44"/>
        <v>252.99999999999997</v>
      </c>
      <c r="J598" s="173">
        <f t="shared" si="43"/>
        <v>301.06999999999994</v>
      </c>
    </row>
    <row r="599" spans="1:10" x14ac:dyDescent="0.25">
      <c r="A599" s="170" t="s">
        <v>787</v>
      </c>
      <c r="B599" s="171" t="s">
        <v>788</v>
      </c>
      <c r="C599" s="170" t="s">
        <v>1353</v>
      </c>
      <c r="D599" s="171" t="s">
        <v>801</v>
      </c>
      <c r="E599" s="172" t="s">
        <v>519</v>
      </c>
      <c r="F599" s="170">
        <v>7</v>
      </c>
      <c r="G599" s="173">
        <v>350</v>
      </c>
      <c r="H599" s="173">
        <f t="shared" si="42"/>
        <v>402.49999999999994</v>
      </c>
      <c r="I599" s="173">
        <f t="shared" si="44"/>
        <v>2817.4999999999995</v>
      </c>
      <c r="J599" s="173">
        <f t="shared" si="43"/>
        <v>3352.8249999999994</v>
      </c>
    </row>
    <row r="600" spans="1:10" x14ac:dyDescent="0.25">
      <c r="A600" s="170" t="s">
        <v>787</v>
      </c>
      <c r="B600" s="171" t="s">
        <v>788</v>
      </c>
      <c r="C600" s="170" t="s">
        <v>1440</v>
      </c>
      <c r="D600" s="171" t="s">
        <v>818</v>
      </c>
      <c r="E600" s="172" t="s">
        <v>452</v>
      </c>
      <c r="F600" s="170">
        <v>500</v>
      </c>
      <c r="G600" s="173">
        <v>5.5</v>
      </c>
      <c r="H600" s="173">
        <f t="shared" si="42"/>
        <v>6.3249999999999993</v>
      </c>
      <c r="I600" s="173">
        <f t="shared" si="44"/>
        <v>3162.4999999999995</v>
      </c>
      <c r="J600" s="173">
        <f t="shared" si="43"/>
        <v>3763.3749999999991</v>
      </c>
    </row>
    <row r="601" spans="1:10" x14ac:dyDescent="0.25">
      <c r="A601" s="170" t="s">
        <v>787</v>
      </c>
      <c r="B601" s="171" t="s">
        <v>788</v>
      </c>
      <c r="C601" s="170" t="s">
        <v>1440</v>
      </c>
      <c r="D601" s="171" t="s">
        <v>818</v>
      </c>
      <c r="E601" s="172" t="s">
        <v>452</v>
      </c>
      <c r="F601" s="170">
        <v>50</v>
      </c>
      <c r="G601" s="173">
        <v>5.54</v>
      </c>
      <c r="H601" s="173">
        <f t="shared" si="42"/>
        <v>6.3709999999999996</v>
      </c>
      <c r="I601" s="173">
        <f t="shared" si="44"/>
        <v>318.54999999999995</v>
      </c>
      <c r="J601" s="173">
        <f t="shared" si="43"/>
        <v>379.07449999999994</v>
      </c>
    </row>
    <row r="602" spans="1:10" x14ac:dyDescent="0.25">
      <c r="A602" s="170" t="s">
        <v>787</v>
      </c>
      <c r="B602" s="171" t="s">
        <v>788</v>
      </c>
      <c r="C602" s="170" t="s">
        <v>1440</v>
      </c>
      <c r="D602" s="171" t="s">
        <v>818</v>
      </c>
      <c r="E602" s="172" t="s">
        <v>452</v>
      </c>
      <c r="F602" s="170">
        <v>40</v>
      </c>
      <c r="G602" s="173">
        <v>6.4</v>
      </c>
      <c r="H602" s="173">
        <f t="shared" si="42"/>
        <v>7.3599999999999994</v>
      </c>
      <c r="I602" s="173">
        <f t="shared" si="44"/>
        <v>294.39999999999998</v>
      </c>
      <c r="J602" s="173">
        <f t="shared" si="43"/>
        <v>350.33599999999996</v>
      </c>
    </row>
    <row r="603" spans="1:10" x14ac:dyDescent="0.25">
      <c r="A603" s="170" t="s">
        <v>787</v>
      </c>
      <c r="B603" s="171" t="s">
        <v>788</v>
      </c>
      <c r="C603" s="170" t="s">
        <v>1352</v>
      </c>
      <c r="D603" s="171" t="s">
        <v>817</v>
      </c>
      <c r="E603" s="172" t="s">
        <v>452</v>
      </c>
      <c r="F603" s="170">
        <v>18</v>
      </c>
      <c r="G603" s="173">
        <v>175</v>
      </c>
      <c r="H603" s="173">
        <f t="shared" si="42"/>
        <v>201.24999999999997</v>
      </c>
      <c r="I603" s="173">
        <f t="shared" si="44"/>
        <v>3622.4999999999995</v>
      </c>
      <c r="J603" s="173">
        <f t="shared" si="43"/>
        <v>4310.7749999999996</v>
      </c>
    </row>
    <row r="604" spans="1:10" x14ac:dyDescent="0.25">
      <c r="A604" s="170" t="s">
        <v>787</v>
      </c>
      <c r="B604" s="171" t="s">
        <v>788</v>
      </c>
      <c r="C604" s="174" t="s">
        <v>1446</v>
      </c>
      <c r="D604" s="171" t="s">
        <v>811</v>
      </c>
      <c r="E604" s="172" t="s">
        <v>519</v>
      </c>
      <c r="F604" s="170">
        <v>7</v>
      </c>
      <c r="G604" s="173">
        <v>310</v>
      </c>
      <c r="H604" s="173">
        <f t="shared" si="42"/>
        <v>356.5</v>
      </c>
      <c r="I604" s="173">
        <f t="shared" si="44"/>
        <v>2495.5</v>
      </c>
      <c r="J604" s="173">
        <f t="shared" si="43"/>
        <v>2969.645</v>
      </c>
    </row>
    <row r="605" spans="1:10" x14ac:dyDescent="0.25">
      <c r="A605" s="170" t="s">
        <v>787</v>
      </c>
      <c r="B605" s="171" t="s">
        <v>788</v>
      </c>
      <c r="C605" s="170" t="s">
        <v>1354</v>
      </c>
      <c r="D605" s="171" t="s">
        <v>1447</v>
      </c>
      <c r="E605" s="172" t="s">
        <v>452</v>
      </c>
      <c r="F605" s="170">
        <v>2000</v>
      </c>
      <c r="G605" s="173">
        <v>0.09</v>
      </c>
      <c r="H605" s="173">
        <f t="shared" si="42"/>
        <v>0.10349999999999999</v>
      </c>
      <c r="I605" s="173">
        <f t="shared" si="44"/>
        <v>207</v>
      </c>
      <c r="J605" s="173">
        <f t="shared" si="43"/>
        <v>246.32999999999998</v>
      </c>
    </row>
    <row r="606" spans="1:10" x14ac:dyDescent="0.25">
      <c r="A606" s="170" t="s">
        <v>787</v>
      </c>
      <c r="B606" s="171" t="s">
        <v>788</v>
      </c>
      <c r="C606" s="174" t="s">
        <v>1446</v>
      </c>
      <c r="D606" s="171" t="s">
        <v>816</v>
      </c>
      <c r="E606" s="172" t="s">
        <v>452</v>
      </c>
      <c r="F606" s="170">
        <v>6000</v>
      </c>
      <c r="G606" s="173">
        <v>0.09</v>
      </c>
      <c r="H606" s="173">
        <f t="shared" si="42"/>
        <v>0.10349999999999999</v>
      </c>
      <c r="I606" s="173">
        <f t="shared" si="44"/>
        <v>621</v>
      </c>
      <c r="J606" s="173">
        <f t="shared" si="43"/>
        <v>738.99</v>
      </c>
    </row>
    <row r="607" spans="1:10" x14ac:dyDescent="0.25">
      <c r="A607" s="170" t="s">
        <v>787</v>
      </c>
      <c r="B607" s="171" t="s">
        <v>788</v>
      </c>
      <c r="C607" s="170" t="s">
        <v>1440</v>
      </c>
      <c r="D607" s="171" t="s">
        <v>1448</v>
      </c>
      <c r="E607" s="172" t="s">
        <v>452</v>
      </c>
      <c r="F607" s="170">
        <v>1</v>
      </c>
      <c r="G607" s="173">
        <v>380</v>
      </c>
      <c r="H607" s="173">
        <f t="shared" si="42"/>
        <v>436.99999999999994</v>
      </c>
      <c r="I607" s="173">
        <f t="shared" si="44"/>
        <v>436.99999999999994</v>
      </c>
      <c r="J607" s="173">
        <f t="shared" si="43"/>
        <v>520.02999999999986</v>
      </c>
    </row>
    <row r="608" spans="1:10" x14ac:dyDescent="0.25">
      <c r="A608" s="170" t="s">
        <v>787</v>
      </c>
      <c r="B608" s="171" t="s">
        <v>788</v>
      </c>
      <c r="C608" s="174" t="s">
        <v>1449</v>
      </c>
      <c r="D608" s="171" t="s">
        <v>1450</v>
      </c>
      <c r="E608" s="172" t="s">
        <v>452</v>
      </c>
      <c r="F608" s="170">
        <v>6000</v>
      </c>
      <c r="G608" s="173">
        <v>0.37</v>
      </c>
      <c r="H608" s="173">
        <f t="shared" si="42"/>
        <v>0.42549999999999999</v>
      </c>
      <c r="I608" s="173">
        <f t="shared" si="44"/>
        <v>2553</v>
      </c>
      <c r="J608" s="173">
        <f t="shared" si="43"/>
        <v>3038.0699999999997</v>
      </c>
    </row>
    <row r="609" spans="1:10" x14ac:dyDescent="0.25">
      <c r="A609" s="170" t="s">
        <v>787</v>
      </c>
      <c r="B609" s="171" t="s">
        <v>788</v>
      </c>
      <c r="C609" s="170" t="s">
        <v>1440</v>
      </c>
      <c r="D609" s="171" t="s">
        <v>823</v>
      </c>
      <c r="E609" s="172" t="s">
        <v>452</v>
      </c>
      <c r="F609" s="170">
        <v>1150</v>
      </c>
      <c r="G609" s="173">
        <v>0.41</v>
      </c>
      <c r="H609" s="173">
        <f t="shared" si="42"/>
        <v>0.47149999999999992</v>
      </c>
      <c r="I609" s="173">
        <f t="shared" si="44"/>
        <v>542.22499999999991</v>
      </c>
      <c r="J609" s="173">
        <f t="shared" si="43"/>
        <v>645.24774999999988</v>
      </c>
    </row>
    <row r="610" spans="1:10" x14ac:dyDescent="0.25">
      <c r="A610" s="170" t="s">
        <v>787</v>
      </c>
      <c r="B610" s="171" t="s">
        <v>788</v>
      </c>
      <c r="C610" s="170" t="s">
        <v>1440</v>
      </c>
      <c r="D610" s="171" t="s">
        <v>820</v>
      </c>
      <c r="E610" s="172" t="s">
        <v>553</v>
      </c>
      <c r="F610" s="170">
        <v>70</v>
      </c>
      <c r="G610" s="173">
        <v>25</v>
      </c>
      <c r="H610" s="173">
        <f t="shared" si="42"/>
        <v>28.749999999999996</v>
      </c>
      <c r="I610" s="173">
        <f t="shared" si="44"/>
        <v>2012.4999999999998</v>
      </c>
      <c r="J610" s="173">
        <f t="shared" si="43"/>
        <v>2394.8749999999995</v>
      </c>
    </row>
    <row r="611" spans="1:10" ht="30" x14ac:dyDescent="0.25">
      <c r="A611" s="170" t="s">
        <v>787</v>
      </c>
      <c r="B611" s="171" t="s">
        <v>788</v>
      </c>
      <c r="C611" s="170" t="s">
        <v>1440</v>
      </c>
      <c r="D611" s="171" t="s">
        <v>800</v>
      </c>
      <c r="E611" s="172" t="s">
        <v>452</v>
      </c>
      <c r="F611" s="170">
        <v>8</v>
      </c>
      <c r="G611" s="173">
        <v>63</v>
      </c>
      <c r="H611" s="173">
        <f t="shared" si="42"/>
        <v>72.449999999999989</v>
      </c>
      <c r="I611" s="173">
        <f t="shared" si="44"/>
        <v>579.59999999999991</v>
      </c>
      <c r="J611" s="173">
        <f t="shared" si="43"/>
        <v>689.72399999999982</v>
      </c>
    </row>
    <row r="612" spans="1:10" ht="30" x14ac:dyDescent="0.25">
      <c r="A612" s="170" t="s">
        <v>787</v>
      </c>
      <c r="B612" s="171" t="s">
        <v>788</v>
      </c>
      <c r="C612" s="170" t="s">
        <v>1440</v>
      </c>
      <c r="D612" s="171" t="s">
        <v>798</v>
      </c>
      <c r="E612" s="172" t="s">
        <v>452</v>
      </c>
      <c r="F612" s="170">
        <f>9+6</f>
        <v>15</v>
      </c>
      <c r="G612" s="173">
        <v>87</v>
      </c>
      <c r="H612" s="173">
        <f t="shared" si="42"/>
        <v>100.05</v>
      </c>
      <c r="I612" s="173">
        <f t="shared" si="44"/>
        <v>1500.75</v>
      </c>
      <c r="J612" s="173">
        <f t="shared" si="43"/>
        <v>1785.8924999999999</v>
      </c>
    </row>
    <row r="613" spans="1:10" ht="30" x14ac:dyDescent="0.25">
      <c r="A613" s="170" t="s">
        <v>787</v>
      </c>
      <c r="B613" s="171" t="s">
        <v>788</v>
      </c>
      <c r="C613" s="170" t="s">
        <v>1440</v>
      </c>
      <c r="D613" s="171" t="s">
        <v>799</v>
      </c>
      <c r="E613" s="172" t="s">
        <v>452</v>
      </c>
      <c r="F613" s="170">
        <v>12</v>
      </c>
      <c r="G613" s="173">
        <v>156</v>
      </c>
      <c r="H613" s="173">
        <f t="shared" si="42"/>
        <v>179.39999999999998</v>
      </c>
      <c r="I613" s="173">
        <f t="shared" si="44"/>
        <v>2152.7999999999997</v>
      </c>
      <c r="J613" s="173">
        <f t="shared" si="43"/>
        <v>2561.8319999999994</v>
      </c>
    </row>
    <row r="614" spans="1:10" x14ac:dyDescent="0.25">
      <c r="A614" s="170" t="s">
        <v>787</v>
      </c>
      <c r="B614" s="171" t="s">
        <v>788</v>
      </c>
      <c r="C614" s="170" t="s">
        <v>1440</v>
      </c>
      <c r="D614" s="171" t="s">
        <v>1451</v>
      </c>
      <c r="E614" s="172" t="s">
        <v>452</v>
      </c>
      <c r="F614" s="170">
        <v>1</v>
      </c>
      <c r="G614" s="173">
        <v>142</v>
      </c>
      <c r="H614" s="173">
        <f t="shared" si="42"/>
        <v>163.29999999999998</v>
      </c>
      <c r="I614" s="173">
        <f t="shared" si="44"/>
        <v>163.29999999999998</v>
      </c>
      <c r="J614" s="173">
        <f t="shared" si="43"/>
        <v>194.32699999999997</v>
      </c>
    </row>
    <row r="615" spans="1:10" ht="30" x14ac:dyDescent="0.25">
      <c r="A615" s="170" t="s">
        <v>787</v>
      </c>
      <c r="B615" s="171" t="s">
        <v>788</v>
      </c>
      <c r="C615" s="170" t="s">
        <v>1440</v>
      </c>
      <c r="D615" s="171" t="s">
        <v>1452</v>
      </c>
      <c r="E615" s="172" t="s">
        <v>452</v>
      </c>
      <c r="F615" s="170">
        <v>1</v>
      </c>
      <c r="G615" s="173">
        <v>603</v>
      </c>
      <c r="H615" s="173">
        <f t="shared" si="42"/>
        <v>693.44999999999993</v>
      </c>
      <c r="I615" s="173">
        <f t="shared" si="44"/>
        <v>693.44999999999993</v>
      </c>
      <c r="J615" s="173">
        <f t="shared" si="43"/>
        <v>825.20549999999992</v>
      </c>
    </row>
    <row r="616" spans="1:10" x14ac:dyDescent="0.25">
      <c r="A616" s="170" t="s">
        <v>787</v>
      </c>
      <c r="B616" s="171" t="s">
        <v>788</v>
      </c>
      <c r="C616" s="170" t="s">
        <v>1440</v>
      </c>
      <c r="D616" s="171" t="s">
        <v>813</v>
      </c>
      <c r="E616" s="172" t="s">
        <v>452</v>
      </c>
      <c r="F616" s="170">
        <v>1</v>
      </c>
      <c r="G616" s="173">
        <v>87</v>
      </c>
      <c r="H616" s="173">
        <f t="shared" si="42"/>
        <v>100.05</v>
      </c>
      <c r="I616" s="173">
        <f t="shared" si="44"/>
        <v>100.05</v>
      </c>
      <c r="J616" s="173">
        <f t="shared" si="43"/>
        <v>119.05949999999999</v>
      </c>
    </row>
    <row r="617" spans="1:10" x14ac:dyDescent="0.25">
      <c r="A617" s="170" t="s">
        <v>787</v>
      </c>
      <c r="B617" s="171" t="s">
        <v>788</v>
      </c>
      <c r="C617" s="170" t="s">
        <v>1440</v>
      </c>
      <c r="D617" s="171" t="s">
        <v>806</v>
      </c>
      <c r="E617" s="172" t="s">
        <v>452</v>
      </c>
      <c r="F617" s="170">
        <v>11</v>
      </c>
      <c r="G617" s="173">
        <v>717.57</v>
      </c>
      <c r="H617" s="173">
        <f t="shared" si="42"/>
        <v>825.20550000000003</v>
      </c>
      <c r="I617" s="173">
        <f t="shared" si="44"/>
        <v>9077.2605000000003</v>
      </c>
      <c r="J617" s="173">
        <f t="shared" si="43"/>
        <v>10801.939995000001</v>
      </c>
    </row>
    <row r="618" spans="1:10" x14ac:dyDescent="0.25">
      <c r="A618" s="170" t="s">
        <v>787</v>
      </c>
      <c r="B618" s="171" t="s">
        <v>788</v>
      </c>
      <c r="C618" s="170" t="s">
        <v>1440</v>
      </c>
      <c r="D618" s="171" t="s">
        <v>1453</v>
      </c>
      <c r="E618" s="172" t="s">
        <v>452</v>
      </c>
      <c r="F618" s="170">
        <v>3</v>
      </c>
      <c r="G618" s="173">
        <v>291.55</v>
      </c>
      <c r="H618" s="173">
        <f t="shared" si="42"/>
        <v>335.28249999999997</v>
      </c>
      <c r="I618" s="173">
        <f t="shared" si="44"/>
        <v>1005.8474999999999</v>
      </c>
      <c r="J618" s="173">
        <f t="shared" si="43"/>
        <v>1196.9585249999998</v>
      </c>
    </row>
    <row r="619" spans="1:10" x14ac:dyDescent="0.25">
      <c r="A619" s="170" t="s">
        <v>787</v>
      </c>
      <c r="B619" s="171" t="s">
        <v>788</v>
      </c>
      <c r="C619" s="170" t="s">
        <v>1440</v>
      </c>
      <c r="D619" s="171" t="s">
        <v>807</v>
      </c>
      <c r="E619" s="172" t="s">
        <v>452</v>
      </c>
      <c r="F619" s="170">
        <v>1</v>
      </c>
      <c r="G619" s="173">
        <v>165.5</v>
      </c>
      <c r="H619" s="173">
        <f t="shared" si="42"/>
        <v>190.32499999999999</v>
      </c>
      <c r="I619" s="173">
        <f t="shared" si="44"/>
        <v>190.32499999999999</v>
      </c>
      <c r="J619" s="173">
        <f t="shared" si="43"/>
        <v>226.48674999999997</v>
      </c>
    </row>
    <row r="620" spans="1:10" x14ac:dyDescent="0.25">
      <c r="A620" s="170" t="s">
        <v>787</v>
      </c>
      <c r="B620" s="171" t="s">
        <v>788</v>
      </c>
      <c r="C620" s="170" t="s">
        <v>1440</v>
      </c>
      <c r="D620" s="171" t="s">
        <v>809</v>
      </c>
      <c r="E620" s="172" t="s">
        <v>452</v>
      </c>
      <c r="F620" s="170">
        <v>10</v>
      </c>
      <c r="G620" s="173">
        <v>225</v>
      </c>
      <c r="H620" s="173">
        <f t="shared" si="42"/>
        <v>258.75</v>
      </c>
      <c r="I620" s="173">
        <f t="shared" si="44"/>
        <v>2587.5</v>
      </c>
      <c r="J620" s="173">
        <f t="shared" si="43"/>
        <v>3079.125</v>
      </c>
    </row>
    <row r="621" spans="1:10" x14ac:dyDescent="0.25">
      <c r="A621" s="170" t="s">
        <v>787</v>
      </c>
      <c r="B621" s="171" t="s">
        <v>788</v>
      </c>
      <c r="C621" s="170" t="s">
        <v>1440</v>
      </c>
      <c r="D621" s="171" t="s">
        <v>822</v>
      </c>
      <c r="E621" s="172" t="s">
        <v>452</v>
      </c>
      <c r="F621" s="170">
        <v>1</v>
      </c>
      <c r="G621" s="173">
        <v>225</v>
      </c>
      <c r="H621" s="173">
        <f t="shared" si="42"/>
        <v>258.75</v>
      </c>
      <c r="I621" s="173">
        <f t="shared" si="44"/>
        <v>258.75</v>
      </c>
      <c r="J621" s="173">
        <f t="shared" si="43"/>
        <v>307.91249999999997</v>
      </c>
    </row>
    <row r="622" spans="1:10" x14ac:dyDescent="0.25">
      <c r="A622" s="170" t="s">
        <v>787</v>
      </c>
      <c r="B622" s="171" t="s">
        <v>788</v>
      </c>
      <c r="C622" s="174" t="s">
        <v>1074</v>
      </c>
      <c r="D622" s="171" t="s">
        <v>653</v>
      </c>
      <c r="E622" s="172" t="s">
        <v>637</v>
      </c>
      <c r="F622" s="170">
        <f>750+25</f>
        <v>775</v>
      </c>
      <c r="G622" s="173">
        <v>1.88</v>
      </c>
      <c r="H622" s="173">
        <f t="shared" si="42"/>
        <v>2.1619999999999999</v>
      </c>
      <c r="I622" s="173">
        <f t="shared" si="44"/>
        <v>1675.55</v>
      </c>
      <c r="J622" s="173">
        <f t="shared" si="43"/>
        <v>1993.9044999999999</v>
      </c>
    </row>
    <row r="623" spans="1:10" ht="30" x14ac:dyDescent="0.25">
      <c r="A623" s="170" t="s">
        <v>787</v>
      </c>
      <c r="B623" s="171" t="s">
        <v>788</v>
      </c>
      <c r="C623" s="170" t="s">
        <v>1454</v>
      </c>
      <c r="D623" s="171" t="s">
        <v>803</v>
      </c>
      <c r="E623" s="172" t="s">
        <v>452</v>
      </c>
      <c r="F623" s="170">
        <v>13</v>
      </c>
      <c r="G623" s="173">
        <v>250</v>
      </c>
      <c r="H623" s="173">
        <f t="shared" si="42"/>
        <v>287.5</v>
      </c>
      <c r="I623" s="173">
        <f t="shared" si="44"/>
        <v>3737.5</v>
      </c>
      <c r="J623" s="173">
        <f t="shared" si="43"/>
        <v>4447.625</v>
      </c>
    </row>
    <row r="624" spans="1:10" x14ac:dyDescent="0.25">
      <c r="A624" s="170" t="s">
        <v>787</v>
      </c>
      <c r="B624" s="171" t="s">
        <v>788</v>
      </c>
      <c r="C624" s="170" t="s">
        <v>1440</v>
      </c>
      <c r="D624" s="171" t="s">
        <v>812</v>
      </c>
      <c r="E624" s="172" t="s">
        <v>452</v>
      </c>
      <c r="F624" s="170">
        <v>9</v>
      </c>
      <c r="G624" s="173">
        <v>120</v>
      </c>
      <c r="H624" s="173">
        <f t="shared" si="42"/>
        <v>138</v>
      </c>
      <c r="I624" s="173">
        <f t="shared" si="44"/>
        <v>1242</v>
      </c>
      <c r="J624" s="173">
        <f t="shared" si="43"/>
        <v>1477.98</v>
      </c>
    </row>
    <row r="625" spans="1:10" x14ac:dyDescent="0.25">
      <c r="A625" s="237" t="s">
        <v>1455</v>
      </c>
      <c r="B625" s="238"/>
      <c r="C625" s="238"/>
      <c r="D625" s="238"/>
      <c r="E625" s="238"/>
      <c r="F625" s="238"/>
      <c r="G625" s="238"/>
      <c r="H625" s="238"/>
      <c r="I625" s="239"/>
      <c r="J625" s="179">
        <f>SUM(J600:J624)</f>
        <v>49064.721019999997</v>
      </c>
    </row>
    <row r="626" spans="1:10" x14ac:dyDescent="0.25">
      <c r="A626" s="170" t="s">
        <v>833</v>
      </c>
      <c r="B626" s="171" t="s">
        <v>834</v>
      </c>
      <c r="C626" s="174" t="s">
        <v>1456</v>
      </c>
      <c r="D626" s="171" t="s">
        <v>1457</v>
      </c>
      <c r="E626" s="172" t="s">
        <v>519</v>
      </c>
      <c r="F626" s="170">
        <f>48+96</f>
        <v>144</v>
      </c>
      <c r="G626" s="173">
        <v>9.8000000000000007</v>
      </c>
      <c r="H626" s="173">
        <f t="shared" si="42"/>
        <v>11.27</v>
      </c>
      <c r="I626" s="173">
        <f>H626*F626</f>
        <v>1622.8799999999999</v>
      </c>
      <c r="J626" s="173">
        <f>I626*1.19</f>
        <v>1931.2271999999998</v>
      </c>
    </row>
    <row r="627" spans="1:10" x14ac:dyDescent="0.25">
      <c r="A627" s="176" t="s">
        <v>1458</v>
      </c>
      <c r="B627" s="177"/>
      <c r="C627" s="177"/>
      <c r="D627" s="177"/>
      <c r="E627" s="177"/>
      <c r="F627" s="177"/>
      <c r="G627" s="177"/>
      <c r="H627" s="177"/>
      <c r="I627" s="178"/>
      <c r="J627" s="179">
        <f>J626</f>
        <v>1931.2271999999998</v>
      </c>
    </row>
    <row r="628" spans="1:10" x14ac:dyDescent="0.25">
      <c r="A628" s="180" t="s">
        <v>1459</v>
      </c>
      <c r="B628" s="180"/>
      <c r="C628" s="180"/>
      <c r="D628" s="180"/>
      <c r="E628" s="180"/>
      <c r="F628" s="180"/>
      <c r="G628" s="180"/>
      <c r="H628" s="180"/>
      <c r="I628" s="180"/>
      <c r="J628" s="179">
        <f>J580+J545+J535+J515+J489+J213+J171+J105+J73+J70+J57+J26+J627+J625+J194+J539</f>
        <v>27150504.106228996</v>
      </c>
    </row>
  </sheetData>
  <mergeCells count="15">
    <mergeCell ref="A171:I171"/>
    <mergeCell ref="A26:I26"/>
    <mergeCell ref="A57:I57"/>
    <mergeCell ref="A70:I70"/>
    <mergeCell ref="A73:I73"/>
    <mergeCell ref="A105:I105"/>
    <mergeCell ref="A545:I545"/>
    <mergeCell ref="A580:I580"/>
    <mergeCell ref="A625:I625"/>
    <mergeCell ref="A194:I194"/>
    <mergeCell ref="A213:I213"/>
    <mergeCell ref="A489:I489"/>
    <mergeCell ref="A515:I515"/>
    <mergeCell ref="A535:I535"/>
    <mergeCell ref="A539:I539"/>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Foi de lucru</vt:lpstr>
      </vt:variant>
      <vt:variant>
        <vt:i4>7</vt:i4>
      </vt:variant>
      <vt:variant>
        <vt:lpstr>Zone denumite</vt:lpstr>
      </vt:variant>
      <vt:variant>
        <vt:i4>3</vt:i4>
      </vt:variant>
    </vt:vector>
  </HeadingPairs>
  <TitlesOfParts>
    <vt:vector size="10" baseType="lpstr">
      <vt:lpstr>PAAP Continut</vt:lpstr>
      <vt:lpstr>CENTRALIZATOR</vt:lpstr>
      <vt:lpstr>PAAP 2025</vt:lpstr>
      <vt:lpstr>Anexa achizitii directe 2025</vt:lpstr>
      <vt:lpstr>Foaie1</vt:lpstr>
      <vt:lpstr>Foaie2</vt:lpstr>
      <vt:lpstr>Foaie3</vt:lpstr>
      <vt:lpstr>'Anexa achizitii directe 2025'!Zona_de_imprimat</vt:lpstr>
      <vt:lpstr>'PAAP 2025'!Zona_de_imprimat</vt:lpstr>
      <vt:lpstr>'PAAP Continut'!Zona_de_imprimat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2025-08-08T08:27:25Z</dcterms:modified>
</cp:coreProperties>
</file>